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Blumenau" sheetId="4" state="visible" r:id="rId6"/>
    <sheet name="Desl. Base Blumenau" sheetId="5" state="visible" r:id="rId7"/>
    <sheet name="Base Joinville" sheetId="6" state="visible" r:id="rId8"/>
    <sheet name="Desl. Base Joinville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Blumenau'!$B$2:$AW$22</definedName>
    <definedName function="false" hidden="false" localSheetId="5" name="_xlnm.Print_Area" vbProcedure="false">'Base Joinville'!$B$2:$AW$23</definedName>
    <definedName function="false" hidden="false" localSheetId="13" name="_xlnm.Print_Area" vbProcedure="false">BDI!$B$1:$J$44</definedName>
    <definedName function="false" hidden="false" localSheetId="4" name="_xlnm.Print_Area" vbProcedure="false">'Desl. Base Blumenau'!$B$2:$M$31</definedName>
    <definedName function="false" hidden="false" localSheetId="6" name="_xlnm.Print_Area" vbProcedure="false">'Desl. Base Joinville'!$B$2:$M$57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Unidades!$B$2:$H$15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<sst xmlns="http://schemas.openxmlformats.org/spreadsheetml/2006/main" count="787" uniqueCount="312">
  <si>
    <t xml:space="preserve">ANEXO I – B5</t>
  </si>
  <si>
    <t xml:space="preserve">PLANILHA DETALHADA DE FORMAÇÃO DE PREÇO</t>
  </si>
  <si>
    <t xml:space="preserve">POLO IV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</si>
  <si>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</si>
  <si>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</si>
  <si>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</si>
  <si>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</si>
  <si>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</si>
  <si>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</si>
  <si>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</si>
  <si>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IV.</t>
  </si>
  <si>
    <t xml:space="preserve">Mês</t>
  </si>
  <si>
    <t xml:space="preserve">VALOR TOTAL DO ITEM 1: R$ 2.740.985,76 (Dois milhões setecentos e quarenta mil novecentos e oitenta e cinco reais e setenta e seis centavos)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</si>
  <si>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</si>
  <si>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</si>
  <si>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</si>
  <si>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</si>
  <si>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</si>
  <si>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</si>
  <si>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</si>
  <si>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</si>
  <si>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BLUMENAU</t>
  </si>
  <si>
    <t xml:space="preserve">JOINVILLE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</si>
  <si>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</si>
  <si>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</si>
  <si>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</si>
  <si>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</si>
  <si>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</si>
  <si>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</si>
  <si>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</si>
  <si>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</si>
  <si>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</si>
  <si>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</si>
  <si>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</si>
  <si>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</si>
  <si>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</si>
  <si>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</si>
  <si>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</si>
  <si>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</si>
  <si>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</si>
  <si>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</si>
  <si>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</si>
  <si>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</si>
  <si>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</si>
  <si>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</si>
  <si>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</si>
  <si>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</si>
  <si>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</si>
  <si>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</si>
  <si>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</si>
  <si>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</si>
  <si>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</si>
  <si>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</si>
  <si>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</si>
  <si>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</si>
  <si>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</si>
  <si>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</si>
  <si>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</si>
  <si>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</si>
  <si>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</si>
  <si>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</si>
  <si>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</si>
  <si>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</si>
  <si>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</si>
  <si>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</si>
  <si>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</si>
  <si>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</si>
  <si>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</si>
  <si>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</si>
  <si>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</si>
  <si>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</si>
  <si>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</si>
  <si>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</si>
  <si>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</si>
  <si>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</si>
  <si>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</si>
  <si>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</si>
  <si>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</si>
  <si>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</si>
  <si>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</si>
  <si>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</si>
  <si>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BALNEÁRIO CAMBORIÚ</t>
  </si>
  <si>
    <t xml:space="preserve">Custo por tipo de rotina</t>
  </si>
  <si>
    <t xml:space="preserve">APS BRUSQUE</t>
  </si>
  <si>
    <t xml:space="preserve">Custo Anual por tipo de rotina</t>
  </si>
  <si>
    <t xml:space="preserve">APS IBIRAMA</t>
  </si>
  <si>
    <t xml:space="preserve">APS INDAIAL</t>
  </si>
  <si>
    <t xml:space="preserve">APS ITAJAÍ</t>
  </si>
  <si>
    <t xml:space="preserve">Custo Anual Preventiva</t>
  </si>
  <si>
    <t xml:space="preserve">APS PENHA</t>
  </si>
  <si>
    <t xml:space="preserve">APS POMERODE</t>
  </si>
  <si>
    <t xml:space="preserve">Custo Anual Corretiva</t>
  </si>
  <si>
    <t xml:space="preserve">APS RIO DO SUL</t>
  </si>
  <si>
    <t xml:space="preserve">APS TIMBÓ</t>
  </si>
  <si>
    <t xml:space="preserve">Custo Anual Manutenção</t>
  </si>
  <si>
    <t xml:space="preserve">CEDOCPREV BLUMENAU</t>
  </si>
  <si>
    <t xml:space="preserve">GEX/APS BLUMENAU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</si>
  <si>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</si>
  <si>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</si>
  <si>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</si>
  <si>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</si>
  <si>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</si>
  <si>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</si>
  <si>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</si>
  <si>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</si>
  <si>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</si>
  <si>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</si>
  <si>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</si>
  <si>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</si>
  <si>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</si>
  <si>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</si>
  <si>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</si>
  <si>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</si>
  <si>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</si>
  <si>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</si>
  <si>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</si>
  <si>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</si>
  <si>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</si>
  <si>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</si>
  <si>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</si>
  <si>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</si>
  <si>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</si>
  <si>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</si>
  <si>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</si>
  <si>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</si>
  <si>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</si>
  <si>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</si>
  <si>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</si>
  <si>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</si>
  <si>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</si>
  <si>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</si>
  <si>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</si>
  <si>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</si>
  <si>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</si>
  <si>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</si>
  <si>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</si>
  <si>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</si>
  <si>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</si>
  <si>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</si>
  <si>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Pedágio (ida e volta)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</si>
  <si>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</si>
  <si>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</si>
  <si>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</si>
  <si>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</si>
  <si>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dezembro/2024.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</si>
  <si>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</si>
  <si>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</si>
  <si>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</si>
  <si>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</si>
  <si>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</si>
  <si>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</si>
  <si>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</si>
  <si>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</si>
  <si>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</si>
  <si>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</si>
  <si>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</si>
  <si>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 Não Desonerado</t>
  </si>
  <si>
    <t xml:space="preserve">codigo</t>
  </si>
  <si>
    <t xml:space="preserve">Valor Unitário Não Desonerado</t>
  </si>
  <si>
    <t xml:space="preserve">Coeficiente</t>
  </si>
  <si>
    <t xml:space="preserve">Valor Não Desonerado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</si>
  <si>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</si>
  <si>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</si>
  <si>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</si>
  <si>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</si>
  <si>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</si>
  <si>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</si>
  <si>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</si>
  <si>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</si>
  <si>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</si>
  <si>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</si>
  <si>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</si>
  <si>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</si>
  <si>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</si>
  <si>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</si>
  <si>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</si>
  <si>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</si>
  <si>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</si>
  <si>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</si>
  <si>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</si>
  <si>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</si>
  <si>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</si>
  <si>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</si>
  <si>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</si>
  <si>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</si>
  <si>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</si>
  <si>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</si>
  <si>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</si>
  <si>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</si>
  <si>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</si>
  <si>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</si>
  <si>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</si>
  <si>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</si>
  <si>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</si>
  <si>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</si>
  <si>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</si>
  <si>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</si>
  <si>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</si>
  <si>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</si>
  <si>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</si>
  <si>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</si>
  <si>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</si>
  <si>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</si>
  <si>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</si>
  <si>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</si>
  <si>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</si>
  <si>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</si>
  <si>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</si>
  <si>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</si>
  <si>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</si>
  <si>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</si>
  <si>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</si>
  <si>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</si>
  <si>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Profissional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</si>
  <si>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</si>
  <si>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SC001367/2024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</si>
  <si>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</si>
  <si>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</si>
  <si>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</si>
  <si>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</si>
  <si>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</si>
  <si>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</si>
  <si>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</si>
  <si>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</si>
  <si>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</si>
  <si>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</si>
  <si>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</si>
  <si>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</si>
  <si>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</si>
  <si>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</si>
  <si>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</si>
  <si>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</si>
  <si>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</si>
  <si>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</si>
  <si>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</si>
  <si>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 2024/2025)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</si>
  <si>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</si>
  <si>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</si>
  <si>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</si>
  <si>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</si>
  <si>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</si>
  <si>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</si>
  <si>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</si>
  <si>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</si>
  <si>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</si>
  <si>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</si>
  <si>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</si>
  <si>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</si>
  <si>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</si>
  <si>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</si>
  <si>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</si>
  <si>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</si>
  <si>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do Estado Dalmo Vieira, 3660</t>
  </si>
  <si>
    <t xml:space="preserve">SIM</t>
  </si>
  <si>
    <t xml:space="preserve">NÃO</t>
  </si>
  <si>
    <t xml:space="preserve">Rua Barão do Rio Branco, 206, Centro</t>
  </si>
  <si>
    <t xml:space="preserve">Rua XV de Novembro, 459, Centro</t>
  </si>
  <si>
    <t xml:space="preserve">Rua Marechal Floriano Peixoto, 444, Centro</t>
  </si>
  <si>
    <t xml:space="preserve">R. Doutor José Bonifácio Malburg, 195, Centro</t>
  </si>
  <si>
    <t xml:space="preserve">Rua João Veríssimo da Silva – SN, Centro</t>
  </si>
  <si>
    <t xml:space="preserve">Rua Arthur Reinert, 11, Centro</t>
  </si>
  <si>
    <t xml:space="preserve">Av. 7 de Setembro, 352, Jardim América</t>
  </si>
  <si>
    <t xml:space="preserve">Rua Benjamin Constant, 29, Centro</t>
  </si>
  <si>
    <t xml:space="preserve">Rua João Pessoa, 200, Velha</t>
  </si>
  <si>
    <t xml:space="preserve">Rua Floriano Peixoto, n°126, Centro</t>
  </si>
  <si>
    <t xml:space="preserve">Rua Vidal Ramos, 780, Centro</t>
  </si>
  <si>
    <t xml:space="preserve">Rua Nelson Luiz Rosa de Bem, 90, Centro</t>
  </si>
  <si>
    <t xml:space="preserve">Av. Getúlio Vargas, 500, Centro</t>
  </si>
  <si>
    <t xml:space="preserve">Rua Doutor Mathias Pienchnick, 37, Centro</t>
  </si>
  <si>
    <t xml:space="preserve">Rua Brasílio Celestino de Oliveira, 30</t>
  </si>
  <si>
    <t xml:space="preserve">Rua Capitão Ernesto Nunes, 89, Centro</t>
  </si>
  <si>
    <t xml:space="preserve">Praça da Bandeira, 20, Centro Histórico</t>
  </si>
  <si>
    <t xml:space="preserve">Rua Nove de Março, 241, Centro</t>
  </si>
  <si>
    <t xml:space="preserve">Rua Graciosa, 380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</si>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</sst>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\ ;[RED]\(#,##0.00\)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3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0" tint="-0.05"/>
        <bgColor rgb="FFEEEEEE"/>
      </patternFill>
    </fill>
    <fill>
      <patternFill patternType="solid">
        <fgColor theme="6" tint="0.5998"/>
        <bgColor rgb="FFDCDADA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7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2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6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8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8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8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3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8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8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6" fillId="8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2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0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1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8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8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8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6" fillId="8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8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8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3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8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8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1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8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2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DBDBDB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43920</xdr:colOff>
      <xdr:row>1</xdr:row>
      <xdr:rowOff>1173600</xdr:rowOff>
    </xdr:to>
    <xdr:sp>
      <xdr:nvSpPr>
        <xdr:cNvPr id="0" name="CustomShape 1"/>
        <xdr:cNvSpPr/>
      </xdr:nvSpPr>
      <xdr:spPr>
        <a:xfrm>
          <a:off x="2499480" y="288360"/>
          <a:ext cx="2637720" cy="1075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378000</xdr:colOff>
      <xdr:row>1</xdr:row>
      <xdr:rowOff>1144800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015720" y="398160"/>
          <a:ext cx="2019960" cy="937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2757600</xdr:colOff>
      <xdr:row>29</xdr:row>
      <xdr:rowOff>55080</xdr:rowOff>
    </xdr:to>
    <xdr:pic>
      <xdr:nvPicPr>
        <xdr:cNvPr id="2" name="Figura 2" descr=""/>
        <xdr:cNvPicPr/>
      </xdr:nvPicPr>
      <xdr:blipFill>
        <a:blip r:embed="rId1"/>
        <a:srcRect l="17755" t="51097" r="20979" b="38289"/>
        <a:stretch/>
      </xdr:blipFill>
      <xdr:spPr>
        <a:xfrm>
          <a:off x="578160" y="6078600"/>
          <a:ext cx="6275880" cy="691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161280</xdr:colOff>
      <xdr:row>21</xdr:row>
      <xdr:rowOff>526320</xdr:rowOff>
    </xdr:to>
    <xdr:pic>
      <xdr:nvPicPr>
        <xdr:cNvPr id="3" name="Figura 3" descr=""/>
        <xdr:cNvPicPr/>
      </xdr:nvPicPr>
      <xdr:blipFill>
        <a:blip r:embed="rId2"/>
        <a:srcRect l="6614" t="69071" r="12463" b="20115"/>
        <a:stretch/>
      </xdr:blipFill>
      <xdr:spPr>
        <a:xfrm>
          <a:off x="442440" y="4155120"/>
          <a:ext cx="6691320" cy="495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H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6.2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1</v>
      </c>
      <c r="C11" s="11" t="s">
        <v>10</v>
      </c>
      <c r="D11" s="12" t="s">
        <v>11</v>
      </c>
      <c r="E11" s="12" t="n">
        <v>24</v>
      </c>
      <c r="F11" s="13" t="n">
        <f aca="false">ROUND(Resumo!D7+Resumo!F7,2)</f>
        <v>114207.74</v>
      </c>
      <c r="G11" s="14" t="n">
        <f aca="false">F11*E11</f>
        <v>2740985.76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14" customFormat="false" ht="14.25" hidden="false" customHeight="false" outlineLevel="0" collapsed="false">
      <c r="H14" s="16"/>
    </row>
    <row r="15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ColWidth="8.50390625" defaultRowHeight="14.2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0" t="s">
        <v>191</v>
      </c>
      <c r="C2" s="170"/>
      <c r="D2" s="170"/>
      <c r="E2" s="170"/>
      <c r="F2" s="170"/>
      <c r="G2" s="170"/>
      <c r="H2" s="170"/>
      <c r="I2" s="170"/>
    </row>
    <row r="3" customFormat="false" ht="19.5" hidden="false" customHeight="true" outlineLevel="0" collapsed="false"/>
    <row r="4" customFormat="false" ht="16.5" hidden="false" customHeight="true" outlineLevel="0" collapsed="false">
      <c r="B4" s="171" t="s">
        <v>192</v>
      </c>
      <c r="C4" s="171"/>
      <c r="D4" s="171"/>
      <c r="E4" s="171"/>
      <c r="F4" s="171"/>
      <c r="G4" s="171"/>
      <c r="H4" s="171"/>
      <c r="I4" s="171"/>
    </row>
    <row r="5" customFormat="false" ht="16.5" hidden="false" customHeight="true" outlineLevel="0" collapsed="false">
      <c r="B5" s="200" t="s">
        <v>147</v>
      </c>
      <c r="C5" s="200"/>
      <c r="D5" s="201" t="n">
        <v>91677</v>
      </c>
      <c r="E5" s="201"/>
      <c r="F5" s="201"/>
      <c r="G5" s="201"/>
      <c r="H5" s="201"/>
      <c r="I5" s="201"/>
    </row>
    <row r="6" customFormat="false" ht="16.5" hidden="false" customHeight="true" outlineLevel="0" collapsed="false">
      <c r="B6" s="200" t="s">
        <v>119</v>
      </c>
      <c r="C6" s="200"/>
      <c r="D6" s="201" t="s">
        <v>193</v>
      </c>
      <c r="E6" s="201"/>
      <c r="F6" s="201"/>
      <c r="G6" s="201"/>
      <c r="H6" s="201"/>
      <c r="I6" s="201"/>
    </row>
    <row r="7" customFormat="false" ht="16.5" hidden="false" customHeight="true" outlineLevel="0" collapsed="false">
      <c r="B7" s="200" t="s">
        <v>150</v>
      </c>
      <c r="C7" s="200"/>
      <c r="D7" s="202" t="s">
        <v>151</v>
      </c>
      <c r="E7" s="202"/>
      <c r="F7" s="202"/>
      <c r="G7" s="202"/>
      <c r="H7" s="202"/>
      <c r="I7" s="202"/>
    </row>
    <row r="8" customFormat="false" ht="16.5" hidden="false" customHeight="true" outlineLevel="0" collapsed="false">
      <c r="B8" s="200" t="s">
        <v>152</v>
      </c>
      <c r="C8" s="200"/>
      <c r="D8" s="201" t="s">
        <v>176</v>
      </c>
      <c r="E8" s="201"/>
      <c r="F8" s="201"/>
      <c r="G8" s="201"/>
      <c r="H8" s="201"/>
      <c r="I8" s="201"/>
    </row>
    <row r="9" customFormat="false" ht="16.5" hidden="false" customHeight="true" outlineLevel="0" collapsed="false">
      <c r="B9" s="200" t="s">
        <v>154</v>
      </c>
      <c r="C9" s="200"/>
      <c r="D9" s="201" t="s">
        <v>194</v>
      </c>
      <c r="E9" s="201"/>
      <c r="F9" s="201"/>
      <c r="G9" s="201"/>
      <c r="H9" s="201"/>
      <c r="I9" s="201"/>
    </row>
    <row r="10" customFormat="false" ht="16.5" hidden="false" customHeight="true" outlineLevel="0" collapsed="false">
      <c r="B10" s="200" t="s">
        <v>120</v>
      </c>
      <c r="C10" s="200"/>
      <c r="D10" s="201" t="s">
        <v>164</v>
      </c>
      <c r="E10" s="201"/>
      <c r="F10" s="201"/>
      <c r="G10" s="201"/>
      <c r="H10" s="201"/>
      <c r="I10" s="201"/>
    </row>
    <row r="11" customFormat="false" ht="28.5" hidden="false" customHeight="true" outlineLevel="0" collapsed="false">
      <c r="B11" s="172" t="s">
        <v>160</v>
      </c>
      <c r="C11" s="172"/>
      <c r="D11" s="203" t="n">
        <f aca="false">SUM(I15:I20)</f>
        <v>173.91288</v>
      </c>
      <c r="E11" s="203"/>
      <c r="F11" s="203"/>
      <c r="G11" s="203"/>
      <c r="H11" s="203"/>
      <c r="I11" s="203"/>
    </row>
    <row r="12" customFormat="false" ht="15.75" hidden="false" customHeight="true" outlineLevel="0" collapsed="false">
      <c r="B12" s="176"/>
      <c r="C12" s="176"/>
      <c r="D12" s="177"/>
      <c r="E12" s="177"/>
      <c r="F12" s="177"/>
      <c r="G12" s="177"/>
      <c r="H12" s="177"/>
      <c r="I12" s="177"/>
    </row>
    <row r="13" customFormat="false" ht="15.75" hidden="false" customHeight="true" outlineLevel="0" collapsed="false">
      <c r="B13" s="176"/>
      <c r="C13" s="176"/>
      <c r="D13" s="177"/>
      <c r="E13" s="177"/>
      <c r="F13" s="177"/>
      <c r="G13" s="177"/>
      <c r="H13" s="177"/>
      <c r="I13" s="177"/>
    </row>
    <row r="14" customFormat="false" ht="45" hidden="false" customHeight="false" outlineLevel="0" collapsed="false">
      <c r="B14" s="178"/>
      <c r="C14" s="178" t="s">
        <v>157</v>
      </c>
      <c r="D14" s="178" t="s">
        <v>119</v>
      </c>
      <c r="E14" s="178" t="s">
        <v>154</v>
      </c>
      <c r="F14" s="178" t="s">
        <v>120</v>
      </c>
      <c r="G14" s="179" t="s">
        <v>158</v>
      </c>
      <c r="H14" s="178" t="s">
        <v>159</v>
      </c>
      <c r="I14" s="178" t="s">
        <v>160</v>
      </c>
    </row>
    <row r="15" customFormat="false" ht="19.5" hidden="false" customHeight="true" outlineLevel="0" collapsed="false">
      <c r="B15" s="180" t="s">
        <v>195</v>
      </c>
      <c r="C15" s="180" t="s">
        <v>196</v>
      </c>
      <c r="D15" s="180" t="s">
        <v>197</v>
      </c>
      <c r="E15" s="180" t="s">
        <v>198</v>
      </c>
      <c r="F15" s="180" t="s">
        <v>164</v>
      </c>
      <c r="G15" s="204" t="n">
        <v>2.45</v>
      </c>
      <c r="H15" s="182" t="n">
        <v>1</v>
      </c>
      <c r="I15" s="205" t="n">
        <f aca="false">G15*H15</f>
        <v>2.45</v>
      </c>
      <c r="J15" s="206"/>
      <c r="K15" s="206"/>
    </row>
    <row r="16" customFormat="false" ht="19.5" hidden="false" customHeight="true" outlineLevel="0" collapsed="false">
      <c r="B16" s="180" t="s">
        <v>195</v>
      </c>
      <c r="C16" s="180" t="s">
        <v>199</v>
      </c>
      <c r="D16" s="180" t="s">
        <v>178</v>
      </c>
      <c r="E16" s="180" t="s">
        <v>200</v>
      </c>
      <c r="F16" s="180" t="s">
        <v>164</v>
      </c>
      <c r="G16" s="182" t="n">
        <f aca="false">'Custo Eng. Eletricista'!C14</f>
        <v>169.20288</v>
      </c>
      <c r="H16" s="182" t="n">
        <v>1</v>
      </c>
      <c r="I16" s="205" t="n">
        <f aca="false">G16*H16</f>
        <v>169.20288</v>
      </c>
      <c r="J16" s="206"/>
      <c r="K16" s="206"/>
    </row>
    <row r="17" customFormat="false" ht="30" hidden="false" customHeight="true" outlineLevel="0" collapsed="false">
      <c r="B17" s="180" t="s">
        <v>195</v>
      </c>
      <c r="C17" s="180" t="s">
        <v>201</v>
      </c>
      <c r="D17" s="180" t="s">
        <v>202</v>
      </c>
      <c r="E17" s="180" t="s">
        <v>203</v>
      </c>
      <c r="F17" s="180" t="s">
        <v>164</v>
      </c>
      <c r="G17" s="182" t="n">
        <v>1.43</v>
      </c>
      <c r="H17" s="182" t="n">
        <v>1</v>
      </c>
      <c r="I17" s="205" t="n">
        <f aca="false">G17*H17</f>
        <v>1.43</v>
      </c>
      <c r="J17" s="206"/>
      <c r="K17" s="206"/>
    </row>
    <row r="18" customFormat="false" ht="30" hidden="false" customHeight="true" outlineLevel="0" collapsed="false">
      <c r="B18" s="180" t="s">
        <v>195</v>
      </c>
      <c r="C18" s="180" t="s">
        <v>204</v>
      </c>
      <c r="D18" s="180" t="s">
        <v>205</v>
      </c>
      <c r="E18" s="180" t="s">
        <v>206</v>
      </c>
      <c r="F18" s="180" t="s">
        <v>164</v>
      </c>
      <c r="G18" s="182" t="n">
        <v>0.08</v>
      </c>
      <c r="H18" s="182" t="n">
        <v>1</v>
      </c>
      <c r="I18" s="205" t="n">
        <f aca="false">G18*H18</f>
        <v>0.08</v>
      </c>
      <c r="J18" s="206"/>
      <c r="K18" s="206"/>
    </row>
    <row r="19" customFormat="false" ht="30" hidden="false" customHeight="true" outlineLevel="0" collapsed="false">
      <c r="B19" s="180" t="s">
        <v>195</v>
      </c>
      <c r="C19" s="180" t="s">
        <v>207</v>
      </c>
      <c r="D19" s="180" t="s">
        <v>208</v>
      </c>
      <c r="E19" s="180" t="s">
        <v>209</v>
      </c>
      <c r="F19" s="180" t="s">
        <v>164</v>
      </c>
      <c r="G19" s="182" t="n">
        <v>0.01</v>
      </c>
      <c r="H19" s="182" t="n">
        <v>1</v>
      </c>
      <c r="I19" s="205" t="n">
        <f aca="false">G19*H19</f>
        <v>0.01</v>
      </c>
      <c r="J19" s="206"/>
      <c r="K19" s="206"/>
    </row>
    <row r="20" customFormat="false" ht="30" hidden="false" customHeight="true" outlineLevel="0" collapsed="false">
      <c r="B20" s="180" t="s">
        <v>195</v>
      </c>
      <c r="C20" s="180" t="s">
        <v>210</v>
      </c>
      <c r="D20" s="180" t="s">
        <v>211</v>
      </c>
      <c r="E20" s="180" t="s">
        <v>209</v>
      </c>
      <c r="F20" s="180" t="s">
        <v>164</v>
      </c>
      <c r="G20" s="182" t="n">
        <v>0.74</v>
      </c>
      <c r="H20" s="182" t="n">
        <v>1</v>
      </c>
      <c r="I20" s="205" t="n">
        <f aca="false">G20*H20</f>
        <v>0.74</v>
      </c>
      <c r="J20" s="206"/>
      <c r="K20" s="206"/>
    </row>
    <row r="21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10.125" defaultRowHeight="14.25" zeroHeight="false" outlineLevelRow="0" outlineLevelCol="0"/>
  <cols>
    <col collapsed="false" customWidth="true" hidden="false" outlineLevel="0" max="1" min="1" style="184" width="5.62"/>
    <col collapsed="false" customWidth="true" hidden="false" outlineLevel="0" max="2" min="2" style="184" width="47.25"/>
    <col collapsed="false" customWidth="true" hidden="false" outlineLevel="0" max="3" min="3" style="184" width="37.12"/>
    <col collapsed="false" customWidth="true" hidden="false" outlineLevel="0" max="4" min="4" style="184" width="29.88"/>
    <col collapsed="false" customWidth="true" hidden="false" outlineLevel="0" max="5" min="5" style="184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07" t="s">
        <v>176</v>
      </c>
    </row>
    <row r="3" customFormat="false" ht="14.25" hidden="false" customHeight="false" outlineLevel="0" collapsed="false">
      <c r="B3" s="186" t="s">
        <v>212</v>
      </c>
      <c r="C3" s="207" t="s">
        <v>213</v>
      </c>
    </row>
    <row r="4" customFormat="false" ht="14.25" hidden="false" customHeight="false" outlineLevel="0" collapsed="false">
      <c r="B4" s="186" t="s">
        <v>214</v>
      </c>
      <c r="C4" s="208" t="s">
        <v>215</v>
      </c>
    </row>
    <row r="5" customFormat="false" ht="14.25" hidden="false" customHeight="false" outlineLevel="0" collapsed="false">
      <c r="B5" s="186" t="s">
        <v>181</v>
      </c>
      <c r="C5" s="208" t="n">
        <v>45413</v>
      </c>
    </row>
    <row r="6" customFormat="false" ht="25.5" hidden="false" customHeight="false" outlineLevel="0" collapsed="false">
      <c r="B6" s="186" t="s">
        <v>216</v>
      </c>
      <c r="C6" s="187" t="s">
        <v>217</v>
      </c>
    </row>
    <row r="7" customFormat="false" ht="14.25" hidden="false" customHeight="false" outlineLevel="0" collapsed="false">
      <c r="B7" s="186" t="s">
        <v>218</v>
      </c>
      <c r="C7" s="209" t="n">
        <f aca="false">2760*1.05</f>
        <v>2898</v>
      </c>
    </row>
    <row r="8" customFormat="false" ht="14.25" hidden="false" customHeight="false" outlineLevel="0" collapsed="false">
      <c r="B8" s="210"/>
      <c r="C8" s="211"/>
    </row>
    <row r="9" customFormat="false" ht="25.5" hidden="false" customHeight="false" outlineLevel="0" collapsed="false">
      <c r="B9" s="212" t="s">
        <v>219</v>
      </c>
      <c r="C9" s="186"/>
    </row>
    <row r="10" customFormat="false" ht="13.5" hidden="false" customHeight="false" outlineLevel="0" collapsed="false">
      <c r="B10" s="186" t="s">
        <v>185</v>
      </c>
      <c r="C10" s="193" t="n">
        <v>0.9254</v>
      </c>
    </row>
    <row r="11" customFormat="false" ht="13.5" hidden="false" customHeight="false" outlineLevel="0" collapsed="false">
      <c r="B11" s="186" t="s">
        <v>220</v>
      </c>
      <c r="C11" s="193" t="n">
        <v>0.5341</v>
      </c>
    </row>
    <row r="12" customFormat="false" ht="13.5" hidden="false" customHeight="false" outlineLevel="0" collapsed="false">
      <c r="B12" s="186" t="s">
        <v>186</v>
      </c>
      <c r="C12" s="193" t="n">
        <v>1.156</v>
      </c>
    </row>
    <row r="13" customFormat="false" ht="13.5" hidden="false" customHeight="false" outlineLevel="0" collapsed="false">
      <c r="B13" s="186" t="s">
        <v>221</v>
      </c>
      <c r="C13" s="193" t="n">
        <v>0.718</v>
      </c>
    </row>
    <row r="14" customFormat="false" ht="13.5" hidden="false" customHeight="true" outlineLevel="0" collapsed="false">
      <c r="B14" s="210"/>
      <c r="C14" s="210"/>
    </row>
    <row r="15" customFormat="false" ht="14.25" hidden="false" customHeight="false" outlineLevel="0" collapsed="false">
      <c r="B15" s="194" t="s">
        <v>222</v>
      </c>
      <c r="C15" s="195"/>
    </row>
    <row r="16" customFormat="false" ht="15.75" hidden="false" customHeight="false" outlineLevel="0" collapsed="false">
      <c r="B16" s="213" t="s">
        <v>223</v>
      </c>
      <c r="C16" s="195" t="n">
        <f aca="false">C7*(1+C11)</f>
        <v>4445.8218</v>
      </c>
      <c r="D16" s="214"/>
      <c r="E16" s="214"/>
    </row>
    <row r="17" customFormat="false" ht="15.75" hidden="false" customHeight="false" outlineLevel="0" collapsed="false">
      <c r="B17" s="213" t="s">
        <v>224</v>
      </c>
      <c r="C17" s="195" t="n">
        <f aca="false">C7*(1+C13)</f>
        <v>4978.764</v>
      </c>
      <c r="D17" s="214"/>
      <c r="E17" s="214"/>
    </row>
    <row r="18" customFormat="false" ht="15.75" hidden="false" customHeight="false" outlineLevel="0" collapsed="false">
      <c r="B18" s="213" t="s">
        <v>225</v>
      </c>
      <c r="C18" s="215" t="n">
        <f aca="false">C16*(1+C10)/(220*(1+C11))</f>
        <v>25.3627690909091</v>
      </c>
      <c r="D18" s="216"/>
      <c r="E18" s="214"/>
    </row>
    <row r="19" customFormat="false" ht="15.75" hidden="false" customHeight="false" outlineLevel="0" collapsed="false">
      <c r="B19" s="213" t="s">
        <v>226</v>
      </c>
      <c r="C19" s="215" t="n">
        <f aca="false">(C17*(1+C12)/(220*(1+C13)))</f>
        <v>28.4004</v>
      </c>
      <c r="D19" s="216"/>
      <c r="E19" s="214"/>
    </row>
    <row r="21" customFormat="false" ht="14.25" hidden="false" customHeight="false" outlineLevel="0" collapsed="false">
      <c r="B21" s="184" t="s">
        <v>227</v>
      </c>
    </row>
    <row r="22" customFormat="false" ht="48.75" hidden="false" customHeight="true" outlineLevel="0" collapsed="false"/>
    <row r="23" customFormat="false" ht="34.5" hidden="false" customHeight="true" outlineLevel="0" collapsed="false">
      <c r="B23" s="199" t="s">
        <v>190</v>
      </c>
      <c r="C23" s="199"/>
    </row>
    <row r="24" customFormat="false" ht="33.75" hidden="false" customHeight="true" outlineLevel="0" collapsed="false">
      <c r="B24" s="199" t="s">
        <v>228</v>
      </c>
      <c r="C24" s="199"/>
    </row>
    <row r="25" customFormat="false" ht="30" hidden="false" customHeight="true" outlineLevel="0" collapsed="false">
      <c r="B25" s="199" t="s">
        <v>229</v>
      </c>
      <c r="C25" s="199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8.125" defaultRowHeight="14.25" zeroHeight="false" outlineLevelRow="0" outlineLevelCol="0"/>
  <cols>
    <col collapsed="false" customWidth="true" hidden="false" outlineLevel="0" max="1" min="1" style="217" width="5.62"/>
    <col collapsed="false" customWidth="true" hidden="false" outlineLevel="0" max="2" min="2" style="217" width="2.88"/>
    <col collapsed="false" customWidth="true" hidden="false" outlineLevel="0" max="3" min="3" style="217" width="11.75"/>
    <col collapsed="false" customWidth="true" hidden="false" outlineLevel="0" max="4" min="4" style="217" width="57.75"/>
    <col collapsed="false" customWidth="true" hidden="false" outlineLevel="0" max="5" min="5" style="217" width="28.88"/>
    <col collapsed="false" customWidth="true" hidden="false" outlineLevel="0" max="6" min="6" style="217" width="9.62"/>
    <col collapsed="false" customWidth="true" hidden="false" outlineLevel="0" max="7" min="7" style="217" width="13.25"/>
    <col collapsed="false" customWidth="true" hidden="false" outlineLevel="0" max="8" min="8" style="217" width="11.5"/>
    <col collapsed="false" customWidth="true" hidden="false" outlineLevel="0" max="9" min="9" style="217" width="13.5"/>
    <col collapsed="false" customWidth="true" hidden="false" outlineLevel="0" max="1026" min="10" style="217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8" t="s">
        <v>230</v>
      </c>
      <c r="C2" s="218"/>
      <c r="D2" s="218"/>
      <c r="E2" s="218"/>
      <c r="F2" s="218"/>
      <c r="G2" s="218"/>
      <c r="H2" s="218"/>
      <c r="I2" s="218"/>
    </row>
    <row r="3" customFormat="false" ht="21" hidden="false" customHeight="true" outlineLevel="0" collapsed="false"/>
    <row r="4" customFormat="false" ht="16.5" hidden="false" customHeight="true" outlineLevel="0" collapsed="false">
      <c r="B4" s="219" t="s">
        <v>231</v>
      </c>
      <c r="C4" s="219"/>
      <c r="D4" s="219"/>
      <c r="E4" s="219"/>
      <c r="F4" s="219"/>
      <c r="G4" s="219"/>
      <c r="H4" s="219"/>
      <c r="I4" s="219"/>
    </row>
    <row r="5" customFormat="false" ht="16.5" hidden="false" customHeight="true" outlineLevel="0" collapsed="false">
      <c r="B5" s="220" t="s">
        <v>147</v>
      </c>
      <c r="C5" s="220"/>
      <c r="D5" s="221" t="n">
        <v>88264</v>
      </c>
      <c r="E5" s="221"/>
      <c r="F5" s="221"/>
      <c r="G5" s="221"/>
      <c r="H5" s="221"/>
      <c r="I5" s="221"/>
    </row>
    <row r="6" customFormat="false" ht="16.5" hidden="false" customHeight="true" outlineLevel="0" collapsed="false">
      <c r="B6" s="220" t="s">
        <v>119</v>
      </c>
      <c r="C6" s="220"/>
      <c r="D6" s="221" t="s">
        <v>232</v>
      </c>
      <c r="E6" s="221"/>
      <c r="F6" s="221"/>
      <c r="G6" s="221"/>
      <c r="H6" s="221"/>
      <c r="I6" s="221"/>
    </row>
    <row r="7" customFormat="false" ht="16.5" hidden="false" customHeight="true" outlineLevel="0" collapsed="false">
      <c r="B7" s="220" t="s">
        <v>150</v>
      </c>
      <c r="C7" s="220"/>
      <c r="D7" s="222" t="s">
        <v>151</v>
      </c>
      <c r="E7" s="222"/>
      <c r="F7" s="222"/>
      <c r="G7" s="222"/>
      <c r="H7" s="222"/>
      <c r="I7" s="222"/>
    </row>
    <row r="8" customFormat="false" ht="16.5" hidden="false" customHeight="true" outlineLevel="0" collapsed="false">
      <c r="B8" s="220" t="s">
        <v>152</v>
      </c>
      <c r="C8" s="220"/>
      <c r="D8" s="221" t="s">
        <v>176</v>
      </c>
      <c r="E8" s="221"/>
      <c r="F8" s="221"/>
      <c r="G8" s="221"/>
      <c r="H8" s="221"/>
      <c r="I8" s="221"/>
    </row>
    <row r="9" customFormat="false" ht="16.5" hidden="false" customHeight="true" outlineLevel="0" collapsed="false">
      <c r="B9" s="220" t="s">
        <v>154</v>
      </c>
      <c r="C9" s="220"/>
      <c r="D9" s="221" t="s">
        <v>194</v>
      </c>
      <c r="E9" s="221"/>
      <c r="F9" s="221"/>
      <c r="G9" s="221"/>
      <c r="H9" s="221"/>
      <c r="I9" s="221"/>
    </row>
    <row r="10" customFormat="false" ht="16.5" hidden="false" customHeight="true" outlineLevel="0" collapsed="false">
      <c r="B10" s="220" t="s">
        <v>120</v>
      </c>
      <c r="C10" s="220"/>
      <c r="D10" s="221" t="s">
        <v>164</v>
      </c>
      <c r="E10" s="221"/>
      <c r="F10" s="221"/>
      <c r="G10" s="221"/>
      <c r="H10" s="221"/>
      <c r="I10" s="221"/>
    </row>
    <row r="11" customFormat="false" ht="23.25" hidden="false" customHeight="true" outlineLevel="0" collapsed="false">
      <c r="B11" s="223" t="s">
        <v>160</v>
      </c>
      <c r="C11" s="223"/>
      <c r="D11" s="224" t="n">
        <f aca="false">SUM(I14:I22)</f>
        <v>34.2904</v>
      </c>
      <c r="E11" s="224"/>
      <c r="F11" s="224"/>
      <c r="G11" s="224"/>
      <c r="H11" s="224"/>
      <c r="I11" s="224"/>
    </row>
    <row r="12" customFormat="false" ht="15.75" hidden="false" customHeight="true" outlineLevel="0" collapsed="false">
      <c r="B12" s="225"/>
      <c r="C12" s="225"/>
      <c r="D12" s="226"/>
      <c r="E12" s="226"/>
      <c r="F12" s="226"/>
      <c r="G12" s="226"/>
      <c r="H12" s="226"/>
      <c r="I12" s="226"/>
    </row>
    <row r="13" customFormat="false" ht="45" hidden="false" customHeight="false" outlineLevel="0" collapsed="false">
      <c r="B13" s="179"/>
      <c r="C13" s="179" t="s">
        <v>157</v>
      </c>
      <c r="D13" s="179" t="s">
        <v>119</v>
      </c>
      <c r="E13" s="179" t="s">
        <v>154</v>
      </c>
      <c r="F13" s="179" t="s">
        <v>120</v>
      </c>
      <c r="G13" s="179" t="s">
        <v>158</v>
      </c>
      <c r="H13" s="179" t="s">
        <v>159</v>
      </c>
      <c r="I13" s="178" t="s">
        <v>160</v>
      </c>
    </row>
    <row r="14" customFormat="false" ht="27.75" hidden="false" customHeight="true" outlineLevel="0" collapsed="false">
      <c r="B14" s="227" t="s">
        <v>161</v>
      </c>
      <c r="C14" s="227" t="n">
        <v>95332</v>
      </c>
      <c r="D14" s="227" t="s">
        <v>233</v>
      </c>
      <c r="E14" s="227" t="s">
        <v>194</v>
      </c>
      <c r="F14" s="227" t="s">
        <v>164</v>
      </c>
      <c r="G14" s="180" t="n">
        <v>1.33</v>
      </c>
      <c r="H14" s="228" t="n">
        <v>1</v>
      </c>
      <c r="I14" s="229" t="n">
        <f aca="false">G14*H14</f>
        <v>1.33</v>
      </c>
      <c r="J14" s="230"/>
      <c r="K14" s="230"/>
    </row>
    <row r="15" customFormat="false" ht="32.25" hidden="false" customHeight="true" outlineLevel="0" collapsed="false">
      <c r="B15" s="227" t="s">
        <v>195</v>
      </c>
      <c r="C15" s="227" t="s">
        <v>234</v>
      </c>
      <c r="D15" s="227" t="s">
        <v>235</v>
      </c>
      <c r="E15" s="227" t="s">
        <v>200</v>
      </c>
      <c r="F15" s="227" t="s">
        <v>164</v>
      </c>
      <c r="G15" s="204" t="n">
        <f aca="false">'Custo Oficial de Manutenção'!C19</f>
        <v>28.4004</v>
      </c>
      <c r="H15" s="228" t="n">
        <v>1</v>
      </c>
      <c r="I15" s="229" t="n">
        <f aca="false">G15*H15</f>
        <v>28.4004</v>
      </c>
      <c r="J15" s="230"/>
      <c r="K15" s="230"/>
    </row>
    <row r="16" customFormat="false" ht="42" hidden="false" customHeight="true" outlineLevel="0" collapsed="false">
      <c r="B16" s="227" t="s">
        <v>195</v>
      </c>
      <c r="C16" s="227" t="n">
        <v>37370</v>
      </c>
      <c r="D16" s="227" t="s">
        <v>236</v>
      </c>
      <c r="E16" s="227" t="s">
        <v>203</v>
      </c>
      <c r="F16" s="227" t="s">
        <v>164</v>
      </c>
      <c r="G16" s="180" t="n">
        <v>0.01</v>
      </c>
      <c r="H16" s="228" t="n">
        <v>1</v>
      </c>
      <c r="I16" s="229" t="n">
        <f aca="false">G16*H16</f>
        <v>0.01</v>
      </c>
      <c r="J16" s="230"/>
      <c r="K16" s="230"/>
    </row>
    <row r="17" customFormat="false" ht="27.75" hidden="false" customHeight="true" outlineLevel="0" collapsed="false">
      <c r="B17" s="227" t="s">
        <v>195</v>
      </c>
      <c r="C17" s="227" t="n">
        <v>37371</v>
      </c>
      <c r="D17" s="227" t="s">
        <v>237</v>
      </c>
      <c r="E17" s="227" t="s">
        <v>238</v>
      </c>
      <c r="F17" s="227" t="s">
        <v>164</v>
      </c>
      <c r="G17" s="180" t="n">
        <v>0.61</v>
      </c>
      <c r="H17" s="228" t="n">
        <v>1</v>
      </c>
      <c r="I17" s="229" t="n">
        <f aca="false">G17*H17</f>
        <v>0.61</v>
      </c>
      <c r="J17" s="230"/>
      <c r="K17" s="230"/>
    </row>
    <row r="18" customFormat="false" ht="42" hidden="false" customHeight="true" outlineLevel="0" collapsed="false">
      <c r="B18" s="227" t="s">
        <v>195</v>
      </c>
      <c r="C18" s="227" t="n">
        <v>37372</v>
      </c>
      <c r="D18" s="227" t="s">
        <v>202</v>
      </c>
      <c r="E18" s="227" t="s">
        <v>203</v>
      </c>
      <c r="F18" s="227" t="s">
        <v>164</v>
      </c>
      <c r="G18" s="180" t="n">
        <v>1.43</v>
      </c>
      <c r="H18" s="228" t="n">
        <v>1</v>
      </c>
      <c r="I18" s="229" t="n">
        <f aca="false">G18*H18</f>
        <v>1.43</v>
      </c>
      <c r="J18" s="230"/>
      <c r="K18" s="230"/>
    </row>
    <row r="19" customFormat="false" ht="27.75" hidden="false" customHeight="true" outlineLevel="0" collapsed="false">
      <c r="B19" s="227" t="s">
        <v>195</v>
      </c>
      <c r="C19" s="227" t="n">
        <v>37373</v>
      </c>
      <c r="D19" s="227" t="s">
        <v>205</v>
      </c>
      <c r="E19" s="227" t="s">
        <v>206</v>
      </c>
      <c r="F19" s="227" t="s">
        <v>164</v>
      </c>
      <c r="G19" s="180" t="n">
        <v>0.08</v>
      </c>
      <c r="H19" s="228" t="n">
        <v>1</v>
      </c>
      <c r="I19" s="229" t="n">
        <f aca="false">G19*H19</f>
        <v>0.08</v>
      </c>
      <c r="J19" s="230"/>
      <c r="K19" s="230"/>
    </row>
    <row r="20" customFormat="false" ht="27.75" hidden="false" customHeight="true" outlineLevel="0" collapsed="false">
      <c r="B20" s="227" t="s">
        <v>195</v>
      </c>
      <c r="C20" s="227" t="n">
        <v>43460</v>
      </c>
      <c r="D20" s="227" t="s">
        <v>239</v>
      </c>
      <c r="E20" s="227" t="s">
        <v>209</v>
      </c>
      <c r="F20" s="227" t="s">
        <v>164</v>
      </c>
      <c r="G20" s="180" t="n">
        <v>0.86</v>
      </c>
      <c r="H20" s="228" t="n">
        <v>1</v>
      </c>
      <c r="I20" s="229" t="n">
        <f aca="false">G20*H20</f>
        <v>0.86</v>
      </c>
      <c r="J20" s="230"/>
      <c r="K20" s="230"/>
    </row>
    <row r="21" customFormat="false" ht="29.25" hidden="false" customHeight="true" outlineLevel="0" collapsed="false">
      <c r="B21" s="231" t="s">
        <v>195</v>
      </c>
      <c r="C21" s="231" t="n">
        <v>43461</v>
      </c>
      <c r="D21" s="231" t="s">
        <v>240</v>
      </c>
      <c r="E21" s="231" t="s">
        <v>209</v>
      </c>
      <c r="F21" s="231" t="s">
        <v>164</v>
      </c>
      <c r="G21" s="232" t="n">
        <v>0.31</v>
      </c>
      <c r="H21" s="233" t="n">
        <v>1</v>
      </c>
      <c r="I21" s="234" t="n">
        <f aca="false">G21*H21</f>
        <v>0.31</v>
      </c>
      <c r="J21" s="230"/>
      <c r="K21" s="230"/>
    </row>
    <row r="22" customFormat="false" ht="27.75" hidden="false" customHeight="true" outlineLevel="0" collapsed="false">
      <c r="B22" s="227" t="s">
        <v>195</v>
      </c>
      <c r="C22" s="227" t="n">
        <v>43484</v>
      </c>
      <c r="D22" s="227" t="s">
        <v>241</v>
      </c>
      <c r="E22" s="227" t="s">
        <v>209</v>
      </c>
      <c r="F22" s="227" t="s">
        <v>164</v>
      </c>
      <c r="G22" s="182" t="n">
        <v>1.26</v>
      </c>
      <c r="H22" s="228" t="n">
        <v>1</v>
      </c>
      <c r="I22" s="229" t="n">
        <f aca="false">G22*H22</f>
        <v>1.26</v>
      </c>
      <c r="J22" s="230"/>
      <c r="K22" s="230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N2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6" activeCellId="0" sqref="M1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15.5"/>
    <col collapsed="false" customWidth="true" hidden="false" outlineLevel="0" max="3" min="3" style="18" width="16.26"/>
    <col collapsed="false" customWidth="true" hidden="false" outlineLevel="0" max="4" min="4" style="17" width="31.88"/>
    <col collapsed="false" customWidth="true" hidden="false" outlineLevel="0" max="5" min="5" style="17" width="36.88"/>
    <col collapsed="false" customWidth="true" hidden="false" outlineLevel="0" max="6" min="6" style="18" width="15.26"/>
    <col collapsed="false" customWidth="true" hidden="false" outlineLevel="0" max="7" min="7" style="17" width="9"/>
    <col collapsed="false" customWidth="true" hidden="false" outlineLevel="0" max="8" min="8" style="17" width="9.12"/>
    <col collapsed="false" customWidth="true" hidden="false" outlineLevel="0" max="9" min="9" style="17" width="12"/>
    <col collapsed="false" customWidth="true" hidden="false" outlineLevel="0" max="11" min="10" style="17" width="11.25"/>
    <col collapsed="false" customWidth="true" hidden="false" outlineLevel="0" max="12" min="12" style="17" width="10.38"/>
    <col collapsed="false" customWidth="true" hidden="false" outlineLevel="0" max="13" min="13" style="17" width="10.5"/>
    <col collapsed="false" customWidth="true" hidden="false" outlineLevel="0" max="14" min="14" style="17" width="12.5"/>
    <col collapsed="false" customWidth="true" hidden="false" outlineLevel="0" max="259" min="15" style="17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5" customFormat="true" ht="29.25" hidden="false" customHeight="true" outlineLevel="0" collapsed="false">
      <c r="B2" s="236" t="str">
        <f aca="false">"RELAÇÃO DE UNIDADES DO "&amp;'Valor da Contratação'!B7&amp;""</f>
        <v>RELAÇÃO DE UNIDADES DO POLO IV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="17" customFormat="true" ht="15" hidden="false" customHeight="true" outlineLevel="0" collapsed="false"/>
    <row r="4" customFormat="false" ht="66.75" hidden="false" customHeight="true" outlineLevel="0" collapsed="false">
      <c r="B4" s="33" t="s">
        <v>242</v>
      </c>
      <c r="C4" s="33" t="s">
        <v>13</v>
      </c>
      <c r="D4" s="33" t="s">
        <v>41</v>
      </c>
      <c r="E4" s="33" t="s">
        <v>243</v>
      </c>
      <c r="F4" s="33" t="s">
        <v>244</v>
      </c>
      <c r="G4" s="33" t="s">
        <v>245</v>
      </c>
      <c r="H4" s="33" t="s">
        <v>71</v>
      </c>
      <c r="I4" s="33" t="s">
        <v>246</v>
      </c>
      <c r="J4" s="33" t="s">
        <v>247</v>
      </c>
      <c r="K4" s="33" t="s">
        <v>248</v>
      </c>
      <c r="L4" s="33" t="s">
        <v>249</v>
      </c>
      <c r="M4" s="33" t="s">
        <v>250</v>
      </c>
      <c r="N4" s="33" t="s">
        <v>251</v>
      </c>
    </row>
    <row r="5" customFormat="false" ht="18" hidden="false" customHeight="true" outlineLevel="0" collapsed="false">
      <c r="B5" s="237" t="s">
        <v>21</v>
      </c>
      <c r="C5" s="237" t="s">
        <v>21</v>
      </c>
      <c r="D5" s="65" t="s">
        <v>81</v>
      </c>
      <c r="E5" s="238" t="s">
        <v>252</v>
      </c>
      <c r="F5" s="67" t="n">
        <f aca="false">58*2/60</f>
        <v>1.93333333333333</v>
      </c>
      <c r="G5" s="239" t="n">
        <v>0.03</v>
      </c>
      <c r="H5" s="239" t="n">
        <f aca="false">HLOOKUP(G5,BDI!$C$19:$J$30,12,)</f>
        <v>0.2354</v>
      </c>
      <c r="I5" s="240" t="n">
        <v>557.17</v>
      </c>
      <c r="J5" s="240" t="n">
        <v>516.32</v>
      </c>
      <c r="K5" s="240" t="n">
        <v>40.85</v>
      </c>
      <c r="L5" s="240" t="n">
        <v>0</v>
      </c>
      <c r="M5" s="240" t="s">
        <v>253</v>
      </c>
      <c r="N5" s="240" t="s">
        <v>254</v>
      </c>
    </row>
    <row r="6" customFormat="false" ht="18" hidden="false" customHeight="true" outlineLevel="0" collapsed="false">
      <c r="B6" s="237" t="s">
        <v>21</v>
      </c>
      <c r="C6" s="237" t="s">
        <v>21</v>
      </c>
      <c r="D6" s="65" t="s">
        <v>83</v>
      </c>
      <c r="E6" s="238" t="s">
        <v>255</v>
      </c>
      <c r="F6" s="67" t="n">
        <f aca="false">52*2/60</f>
        <v>1.73333333333333</v>
      </c>
      <c r="G6" s="239" t="n">
        <v>0.02</v>
      </c>
      <c r="H6" s="239" t="n">
        <f aca="false">HLOOKUP(G6,BDI!$C$19:$J$30,12,)</f>
        <v>0.2223</v>
      </c>
      <c r="I6" s="240" t="n">
        <v>1027.72</v>
      </c>
      <c r="J6" s="240" t="n">
        <v>807.3</v>
      </c>
      <c r="K6" s="240" t="n">
        <v>220.42</v>
      </c>
      <c r="L6" s="240" t="n">
        <v>0</v>
      </c>
      <c r="M6" s="240" t="s">
        <v>253</v>
      </c>
      <c r="N6" s="240" t="s">
        <v>254</v>
      </c>
    </row>
    <row r="7" customFormat="false" ht="18" hidden="false" customHeight="true" outlineLevel="0" collapsed="false">
      <c r="B7" s="237" t="s">
        <v>21</v>
      </c>
      <c r="C7" s="237" t="s">
        <v>21</v>
      </c>
      <c r="D7" s="65" t="s">
        <v>85</v>
      </c>
      <c r="E7" s="241" t="s">
        <v>256</v>
      </c>
      <c r="F7" s="67" t="n">
        <f aca="false">71*2/60</f>
        <v>2.36666666666667</v>
      </c>
      <c r="G7" s="239" t="n">
        <v>0.04</v>
      </c>
      <c r="H7" s="239" t="n">
        <f aca="false">HLOOKUP(G7,BDI!$C$19:$J$30,12,)</f>
        <v>0.2487</v>
      </c>
      <c r="I7" s="240" t="n">
        <v>963</v>
      </c>
      <c r="J7" s="240" t="n">
        <v>463</v>
      </c>
      <c r="K7" s="240" t="n">
        <v>94</v>
      </c>
      <c r="L7" s="240" t="n">
        <v>406</v>
      </c>
      <c r="M7" s="240" t="s">
        <v>254</v>
      </c>
      <c r="N7" s="240" t="s">
        <v>253</v>
      </c>
    </row>
    <row r="8" customFormat="false" ht="18" hidden="false" customHeight="true" outlineLevel="0" collapsed="false">
      <c r="B8" s="237" t="s">
        <v>21</v>
      </c>
      <c r="C8" s="237" t="s">
        <v>21</v>
      </c>
      <c r="D8" s="65" t="s">
        <v>86</v>
      </c>
      <c r="E8" s="241" t="s">
        <v>257</v>
      </c>
      <c r="F8" s="67" t="n">
        <f aca="false">33*2/60</f>
        <v>1.1</v>
      </c>
      <c r="G8" s="239" t="n">
        <v>0.03</v>
      </c>
      <c r="H8" s="239" t="n">
        <f aca="false">HLOOKUP(G8,BDI!$C$19:$J$30,12,)</f>
        <v>0.2354</v>
      </c>
      <c r="I8" s="240" t="n">
        <v>204.1</v>
      </c>
      <c r="J8" s="240" t="n">
        <v>137.18</v>
      </c>
      <c r="K8" s="240" t="n">
        <v>66.92</v>
      </c>
      <c r="L8" s="240" t="n">
        <v>0</v>
      </c>
      <c r="M8" s="240" t="s">
        <v>254</v>
      </c>
      <c r="N8" s="240" t="s">
        <v>254</v>
      </c>
    </row>
    <row r="9" customFormat="false" ht="18" hidden="false" customHeight="true" outlineLevel="0" collapsed="false">
      <c r="B9" s="237" t="s">
        <v>21</v>
      </c>
      <c r="C9" s="237" t="s">
        <v>21</v>
      </c>
      <c r="D9" s="65" t="s">
        <v>87</v>
      </c>
      <c r="E9" s="238" t="s">
        <v>258</v>
      </c>
      <c r="F9" s="67" t="n">
        <f aca="false">59*2/60</f>
        <v>1.96666666666667</v>
      </c>
      <c r="G9" s="239" t="n">
        <v>0.02</v>
      </c>
      <c r="H9" s="239" t="n">
        <f aca="false">HLOOKUP(G9,BDI!$C$19:$J$30,12,)</f>
        <v>0.2223</v>
      </c>
      <c r="I9" s="240" t="n">
        <v>3189</v>
      </c>
      <c r="J9" s="240" t="n">
        <v>1510.13</v>
      </c>
      <c r="K9" s="240" t="n">
        <v>678.42</v>
      </c>
      <c r="L9" s="240" t="n">
        <v>1000.45</v>
      </c>
      <c r="M9" s="240" t="s">
        <v>254</v>
      </c>
      <c r="N9" s="240" t="s">
        <v>253</v>
      </c>
    </row>
    <row r="10" customFormat="false" ht="18" hidden="false" customHeight="true" outlineLevel="0" collapsed="false">
      <c r="B10" s="237" t="s">
        <v>21</v>
      </c>
      <c r="C10" s="237" t="s">
        <v>21</v>
      </c>
      <c r="D10" s="65" t="s">
        <v>89</v>
      </c>
      <c r="E10" s="238" t="s">
        <v>259</v>
      </c>
      <c r="F10" s="67" t="n">
        <f aca="false">53*2/60</f>
        <v>1.76666666666667</v>
      </c>
      <c r="G10" s="239" t="n">
        <v>0.02</v>
      </c>
      <c r="H10" s="239" t="n">
        <f aca="false">HLOOKUP(G10,BDI!$C$19:$J$30,12,)</f>
        <v>0.2223</v>
      </c>
      <c r="I10" s="240" t="n">
        <v>334.4</v>
      </c>
      <c r="J10" s="240" t="n">
        <v>296</v>
      </c>
      <c r="K10" s="240" t="n">
        <v>38.4</v>
      </c>
      <c r="L10" s="240" t="n">
        <v>0</v>
      </c>
      <c r="M10" s="240" t="s">
        <v>254</v>
      </c>
      <c r="N10" s="240" t="s">
        <v>254</v>
      </c>
    </row>
    <row r="11" customFormat="false" ht="18" hidden="false" customHeight="true" outlineLevel="0" collapsed="false">
      <c r="B11" s="237" t="s">
        <v>21</v>
      </c>
      <c r="C11" s="237" t="s">
        <v>21</v>
      </c>
      <c r="D11" s="65" t="s">
        <v>90</v>
      </c>
      <c r="E11" s="238" t="s">
        <v>260</v>
      </c>
      <c r="F11" s="67" t="n">
        <f aca="false">76/60</f>
        <v>1.26666666666667</v>
      </c>
      <c r="G11" s="239" t="n">
        <v>0.035</v>
      </c>
      <c r="H11" s="239" t="n">
        <f aca="false">HLOOKUP(G11,BDI!$C$19:$J$30,12,)</f>
        <v>0.242</v>
      </c>
      <c r="I11" s="240" t="n">
        <v>334.4</v>
      </c>
      <c r="J11" s="240" t="n">
        <v>296</v>
      </c>
      <c r="K11" s="240" t="n">
        <v>38.4</v>
      </c>
      <c r="L11" s="240" t="n">
        <v>0</v>
      </c>
      <c r="M11" s="240" t="s">
        <v>254</v>
      </c>
      <c r="N11" s="240" t="s">
        <v>254</v>
      </c>
    </row>
    <row r="12" customFormat="false" ht="18" hidden="false" customHeight="true" outlineLevel="0" collapsed="false">
      <c r="B12" s="237" t="s">
        <v>21</v>
      </c>
      <c r="C12" s="237" t="s">
        <v>21</v>
      </c>
      <c r="D12" s="65" t="s">
        <v>92</v>
      </c>
      <c r="E12" s="238" t="s">
        <v>261</v>
      </c>
      <c r="F12" s="67" t="n">
        <f aca="false">102*2/60</f>
        <v>3.4</v>
      </c>
      <c r="G12" s="239" t="n">
        <v>0.02</v>
      </c>
      <c r="H12" s="239" t="n">
        <f aca="false">HLOOKUP(G12,BDI!$C$19:$J$30,12,)</f>
        <v>0.2223</v>
      </c>
      <c r="I12" s="240" t="n">
        <v>2048</v>
      </c>
      <c r="J12" s="240" t="n">
        <v>1174.52</v>
      </c>
      <c r="K12" s="240" t="n">
        <v>810</v>
      </c>
      <c r="L12" s="240" t="n">
        <v>63.48</v>
      </c>
      <c r="M12" s="240" t="s">
        <v>254</v>
      </c>
      <c r="N12" s="240" t="s">
        <v>253</v>
      </c>
    </row>
    <row r="13" customFormat="false" ht="18" hidden="false" customHeight="true" outlineLevel="0" collapsed="false">
      <c r="B13" s="237" t="s">
        <v>21</v>
      </c>
      <c r="C13" s="237" t="s">
        <v>21</v>
      </c>
      <c r="D13" s="65" t="s">
        <v>93</v>
      </c>
      <c r="E13" s="238" t="s">
        <v>262</v>
      </c>
      <c r="F13" s="67" t="n">
        <f aca="false">37*2/60</f>
        <v>1.23333333333333</v>
      </c>
      <c r="G13" s="239" t="n">
        <v>0.035</v>
      </c>
      <c r="H13" s="239" t="n">
        <f aca="false">HLOOKUP(G13,BDI!$C$19:$J$30,12,)</f>
        <v>0.242</v>
      </c>
      <c r="I13" s="240" t="n">
        <v>964.83</v>
      </c>
      <c r="J13" s="240" t="n">
        <v>546.27</v>
      </c>
      <c r="K13" s="240" t="n">
        <v>223.33</v>
      </c>
      <c r="L13" s="240" t="n">
        <v>195.23</v>
      </c>
      <c r="M13" s="240" t="s">
        <v>253</v>
      </c>
      <c r="N13" s="240" t="s">
        <v>254</v>
      </c>
    </row>
    <row r="14" customFormat="false" ht="18" hidden="false" customHeight="true" outlineLevel="0" collapsed="false">
      <c r="B14" s="237" t="s">
        <v>21</v>
      </c>
      <c r="C14" s="237" t="s">
        <v>21</v>
      </c>
      <c r="D14" s="65" t="s">
        <v>95</v>
      </c>
      <c r="E14" s="238" t="s">
        <v>263</v>
      </c>
      <c r="F14" s="67" t="n">
        <f aca="false">8/60</f>
        <v>0.133333333333333</v>
      </c>
      <c r="G14" s="239" t="n">
        <v>0.05</v>
      </c>
      <c r="H14" s="239" t="n">
        <f aca="false">HLOOKUP(G14,BDI!$C$19:$J$30,12,)</f>
        <v>0.2624</v>
      </c>
      <c r="I14" s="240" t="n">
        <v>540</v>
      </c>
      <c r="J14" s="240" t="n">
        <v>0</v>
      </c>
      <c r="K14" s="240" t="n">
        <v>540</v>
      </c>
      <c r="L14" s="240" t="n">
        <v>0</v>
      </c>
      <c r="M14" s="240" t="s">
        <v>254</v>
      </c>
      <c r="N14" s="240" t="s">
        <v>254</v>
      </c>
    </row>
    <row r="15" customFormat="false" ht="18" hidden="false" customHeight="true" outlineLevel="0" collapsed="false">
      <c r="B15" s="237" t="s">
        <v>21</v>
      </c>
      <c r="C15" s="237" t="s">
        <v>21</v>
      </c>
      <c r="D15" s="65" t="s">
        <v>96</v>
      </c>
      <c r="E15" s="238" t="s">
        <v>264</v>
      </c>
      <c r="F15" s="67" t="n">
        <v>0</v>
      </c>
      <c r="G15" s="239" t="n">
        <v>0.05</v>
      </c>
      <c r="H15" s="239" t="n">
        <f aca="false">HLOOKUP(G15,BDI!$C$19:$J$30,12,)</f>
        <v>0.2624</v>
      </c>
      <c r="I15" s="240" t="n">
        <v>1896.48</v>
      </c>
      <c r="J15" s="240" t="n">
        <v>1716.77</v>
      </c>
      <c r="K15" s="240" t="n">
        <v>179.71</v>
      </c>
      <c r="L15" s="240" t="n">
        <v>0</v>
      </c>
      <c r="M15" s="240" t="s">
        <v>253</v>
      </c>
      <c r="N15" s="240" t="s">
        <v>254</v>
      </c>
    </row>
    <row r="16" customFormat="false" ht="18" hidden="false" customHeight="true" outlineLevel="0" collapsed="false">
      <c r="B16" s="237" t="s">
        <v>22</v>
      </c>
      <c r="C16" s="237" t="s">
        <v>22</v>
      </c>
      <c r="D16" s="65" t="s">
        <v>130</v>
      </c>
      <c r="E16" s="238" t="s">
        <v>265</v>
      </c>
      <c r="F16" s="67" t="n">
        <f aca="false">177*2/60</f>
        <v>5.9</v>
      </c>
      <c r="G16" s="239" t="n">
        <v>0.03</v>
      </c>
      <c r="H16" s="239" t="n">
        <f aca="false">HLOOKUP(G16,BDI!$C$19:$J$30,12,)</f>
        <v>0.2354</v>
      </c>
      <c r="I16" s="240" t="n">
        <v>2098</v>
      </c>
      <c r="J16" s="240" t="n">
        <v>661</v>
      </c>
      <c r="K16" s="240" t="n">
        <v>742</v>
      </c>
      <c r="L16" s="240" t="n">
        <v>695</v>
      </c>
      <c r="M16" s="240" t="s">
        <v>253</v>
      </c>
      <c r="N16" s="240" t="s">
        <v>253</v>
      </c>
    </row>
    <row r="17" customFormat="false" ht="18" hidden="false" customHeight="true" outlineLevel="0" collapsed="false">
      <c r="B17" s="237" t="s">
        <v>22</v>
      </c>
      <c r="C17" s="237" t="s">
        <v>22</v>
      </c>
      <c r="D17" s="65" t="s">
        <v>131</v>
      </c>
      <c r="E17" s="238" t="s">
        <v>266</v>
      </c>
      <c r="F17" s="67" t="n">
        <f aca="false">40*2/60</f>
        <v>1.33333333333333</v>
      </c>
      <c r="G17" s="239" t="n">
        <v>0.02</v>
      </c>
      <c r="H17" s="239" t="n">
        <f aca="false">HLOOKUP(G17,BDI!$C$19:$J$30,12,)</f>
        <v>0.2223</v>
      </c>
      <c r="I17" s="240" t="n">
        <v>334.4</v>
      </c>
      <c r="J17" s="240" t="n">
        <v>296</v>
      </c>
      <c r="K17" s="240" t="n">
        <v>38.4</v>
      </c>
      <c r="L17" s="240" t="n">
        <v>0</v>
      </c>
      <c r="M17" s="240" t="s">
        <v>254</v>
      </c>
      <c r="N17" s="240" t="s">
        <v>254</v>
      </c>
    </row>
    <row r="18" customFormat="false" ht="18" hidden="false" customHeight="true" outlineLevel="0" collapsed="false">
      <c r="B18" s="237" t="s">
        <v>22</v>
      </c>
      <c r="C18" s="237" t="s">
        <v>22</v>
      </c>
      <c r="D18" s="65" t="s">
        <v>132</v>
      </c>
      <c r="E18" s="238" t="s">
        <v>267</v>
      </c>
      <c r="F18" s="67" t="n">
        <f aca="false">50*2/60</f>
        <v>1.66666666666667</v>
      </c>
      <c r="G18" s="239" t="n">
        <v>0.02</v>
      </c>
      <c r="H18" s="239" t="n">
        <f aca="false">HLOOKUP(G18,BDI!$C$19:$J$30,12,)</f>
        <v>0.2223</v>
      </c>
      <c r="I18" s="240" t="n">
        <v>1264.6</v>
      </c>
      <c r="J18" s="240" t="n">
        <v>749.6</v>
      </c>
      <c r="K18" s="240" t="n">
        <v>515</v>
      </c>
      <c r="L18" s="240" t="n">
        <v>0</v>
      </c>
      <c r="M18" s="240" t="s">
        <v>253</v>
      </c>
      <c r="N18" s="240" t="s">
        <v>253</v>
      </c>
    </row>
    <row r="19" customFormat="false" ht="18" hidden="false" customHeight="true" outlineLevel="0" collapsed="false">
      <c r="B19" s="237" t="s">
        <v>22</v>
      </c>
      <c r="C19" s="237" t="s">
        <v>22</v>
      </c>
      <c r="D19" s="65" t="s">
        <v>133</v>
      </c>
      <c r="E19" s="238" t="s">
        <v>268</v>
      </c>
      <c r="F19" s="67" t="n">
        <f aca="false">132*2/60</f>
        <v>4.4</v>
      </c>
      <c r="G19" s="239" t="n">
        <v>0.02</v>
      </c>
      <c r="H19" s="239" t="n">
        <f aca="false">HLOOKUP(G19,BDI!$C$19:$J$30,12,)</f>
        <v>0.2223</v>
      </c>
      <c r="I19" s="240" t="n">
        <v>1623.5</v>
      </c>
      <c r="J19" s="240" t="n">
        <v>842.5</v>
      </c>
      <c r="K19" s="240" t="n">
        <v>660</v>
      </c>
      <c r="L19" s="240" t="n">
        <v>121</v>
      </c>
      <c r="M19" s="240" t="s">
        <v>254</v>
      </c>
      <c r="N19" s="240" t="s">
        <v>254</v>
      </c>
    </row>
    <row r="20" customFormat="false" ht="18" hidden="false" customHeight="true" outlineLevel="0" collapsed="false">
      <c r="B20" s="237" t="s">
        <v>22</v>
      </c>
      <c r="C20" s="237" t="s">
        <v>22</v>
      </c>
      <c r="D20" s="65" t="s">
        <v>134</v>
      </c>
      <c r="E20" s="241" t="s">
        <v>269</v>
      </c>
      <c r="F20" s="67" t="n">
        <f aca="false">139*2/60</f>
        <v>4.63333333333333</v>
      </c>
      <c r="G20" s="239" t="n">
        <v>0.02</v>
      </c>
      <c r="H20" s="239" t="n">
        <f aca="false">HLOOKUP(G20,BDI!$C$19:$J$30,12,)</f>
        <v>0.2223</v>
      </c>
      <c r="I20" s="240" t="n">
        <v>334.4</v>
      </c>
      <c r="J20" s="240" t="n">
        <v>296</v>
      </c>
      <c r="K20" s="240" t="n">
        <v>38.4</v>
      </c>
      <c r="L20" s="240" t="n">
        <v>0</v>
      </c>
      <c r="M20" s="240" t="s">
        <v>254</v>
      </c>
      <c r="N20" s="240" t="s">
        <v>254</v>
      </c>
    </row>
    <row r="21" customFormat="false" ht="18" hidden="false" customHeight="true" outlineLevel="0" collapsed="false">
      <c r="B21" s="237" t="s">
        <v>22</v>
      </c>
      <c r="C21" s="237" t="s">
        <v>22</v>
      </c>
      <c r="D21" s="65" t="s">
        <v>135</v>
      </c>
      <c r="E21" s="238" t="s">
        <v>270</v>
      </c>
      <c r="F21" s="67" t="n">
        <f aca="false">79*2/60</f>
        <v>2.63333333333333</v>
      </c>
      <c r="G21" s="239" t="n">
        <v>0.02</v>
      </c>
      <c r="H21" s="239" t="n">
        <f aca="false">HLOOKUP(G21,BDI!$C$19:$J$30,12,)</f>
        <v>0.2223</v>
      </c>
      <c r="I21" s="240" t="n">
        <v>780.2</v>
      </c>
      <c r="J21" s="240" t="n">
        <v>578.2</v>
      </c>
      <c r="K21" s="240" t="n">
        <v>155</v>
      </c>
      <c r="L21" s="240" t="n">
        <v>47</v>
      </c>
      <c r="M21" s="240" t="s">
        <v>254</v>
      </c>
      <c r="N21" s="240" t="s">
        <v>253</v>
      </c>
    </row>
    <row r="22" customFormat="false" ht="18" hidden="false" customHeight="true" outlineLevel="0" collapsed="false">
      <c r="B22" s="237" t="s">
        <v>22</v>
      </c>
      <c r="C22" s="237" t="s">
        <v>22</v>
      </c>
      <c r="D22" s="65" t="s">
        <v>136</v>
      </c>
      <c r="E22" s="238" t="s">
        <v>271</v>
      </c>
      <c r="F22" s="67" t="n">
        <f aca="false">114/60</f>
        <v>1.9</v>
      </c>
      <c r="G22" s="239" t="n">
        <v>0.03</v>
      </c>
      <c r="H22" s="239" t="n">
        <f aca="false">HLOOKUP(G22,BDI!$C$19:$J$30,12,)</f>
        <v>0.2354</v>
      </c>
      <c r="I22" s="240" t="n">
        <v>389.8</v>
      </c>
      <c r="J22" s="240" t="n">
        <v>349.8</v>
      </c>
      <c r="K22" s="240" t="n">
        <v>40</v>
      </c>
      <c r="L22" s="240" t="n">
        <v>0</v>
      </c>
      <c r="M22" s="240" t="s">
        <v>254</v>
      </c>
      <c r="N22" s="240" t="s">
        <v>254</v>
      </c>
    </row>
    <row r="23" customFormat="false" ht="18" hidden="false" customHeight="true" outlineLevel="0" collapsed="false">
      <c r="B23" s="237" t="s">
        <v>22</v>
      </c>
      <c r="C23" s="237" t="s">
        <v>22</v>
      </c>
      <c r="D23" s="65" t="s">
        <v>137</v>
      </c>
      <c r="E23" s="241" t="s">
        <v>272</v>
      </c>
      <c r="F23" s="67" t="n">
        <v>0</v>
      </c>
      <c r="G23" s="239" t="n">
        <v>0.02</v>
      </c>
      <c r="H23" s="239" t="n">
        <f aca="false">HLOOKUP(G23,BDI!$C$19:$J$30,12,)</f>
        <v>0.2223</v>
      </c>
      <c r="I23" s="240" t="n">
        <v>3091</v>
      </c>
      <c r="J23" s="240" t="n">
        <v>2231.68</v>
      </c>
      <c r="K23" s="240" t="n">
        <v>859.32</v>
      </c>
      <c r="L23" s="240" t="n">
        <v>0</v>
      </c>
      <c r="M23" s="240" t="s">
        <v>254</v>
      </c>
      <c r="N23" s="240" t="s">
        <v>253</v>
      </c>
    </row>
    <row r="24" customFormat="false" ht="18" hidden="false" customHeight="true" outlineLevel="0" collapsed="false">
      <c r="B24" s="237" t="s">
        <v>22</v>
      </c>
      <c r="C24" s="237" t="s">
        <v>22</v>
      </c>
      <c r="D24" s="65" t="s">
        <v>138</v>
      </c>
      <c r="E24" s="238" t="s">
        <v>273</v>
      </c>
      <c r="F24" s="67" t="n">
        <f aca="false">12/60</f>
        <v>0.2</v>
      </c>
      <c r="G24" s="239" t="n">
        <v>0.02</v>
      </c>
      <c r="H24" s="239" t="n">
        <f aca="false">HLOOKUP(G24,BDI!$C$19:$J$30,12,)</f>
        <v>0.2223</v>
      </c>
      <c r="I24" s="240" t="n">
        <v>873</v>
      </c>
      <c r="J24" s="240" t="n">
        <v>0</v>
      </c>
      <c r="K24" s="240" t="n">
        <v>873</v>
      </c>
      <c r="L24" s="240" t="n">
        <v>0</v>
      </c>
      <c r="M24" s="240" t="s">
        <v>253</v>
      </c>
      <c r="N24" s="240" t="s">
        <v>253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V5" colorId="64" zoomScale="100" zoomScaleNormal="100" zoomScalePageLayoutView="100" workbookViewId="0">
      <selection pane="topLeft" activeCell="B4" activeCellId="0" sqref="B4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2" width="11.62"/>
    <col collapsed="false" customWidth="true" hidden="false" outlineLevel="0" max="3" min="3" style="242" width="42.25"/>
    <col collapsed="false" customWidth="true" hidden="false" outlineLevel="0" max="4" min="4" style="53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3" t="s">
        <v>274</v>
      </c>
      <c r="C2" s="243"/>
      <c r="D2" s="243"/>
      <c r="E2" s="243"/>
      <c r="F2" s="243"/>
      <c r="G2" s="243"/>
      <c r="H2" s="243"/>
      <c r="I2" s="243"/>
      <c r="J2" s="243"/>
    </row>
    <row r="3" customFormat="false" ht="19.5" hidden="false" customHeight="true" outlineLevel="0" collapsed="false">
      <c r="B3" s="244" t="s">
        <v>3</v>
      </c>
      <c r="C3" s="244"/>
      <c r="D3" s="244"/>
      <c r="E3" s="244"/>
      <c r="F3" s="244"/>
      <c r="G3" s="244"/>
      <c r="H3" s="244"/>
      <c r="I3" s="244"/>
      <c r="J3" s="244"/>
    </row>
    <row r="4" customFormat="false" ht="15" hidden="false" customHeight="true" outlineLevel="0" collapsed="false">
      <c r="B4" s="245"/>
      <c r="C4" s="245"/>
      <c r="D4" s="21"/>
    </row>
    <row r="5" customFormat="false" ht="15" hidden="false" customHeight="true" outlineLevel="0" collapsed="false">
      <c r="B5" s="246" t="s">
        <v>275</v>
      </c>
      <c r="C5" s="246"/>
      <c r="D5" s="246"/>
      <c r="E5" s="246"/>
      <c r="F5" s="247"/>
      <c r="G5" s="247"/>
      <c r="H5" s="247"/>
      <c r="I5" s="247"/>
      <c r="J5" s="248"/>
    </row>
    <row r="6" customFormat="false" ht="15" hidden="false" customHeight="true" outlineLevel="0" collapsed="false">
      <c r="B6" s="249"/>
      <c r="C6" s="2"/>
      <c r="D6" s="136"/>
      <c r="E6" s="136"/>
      <c r="J6" s="250"/>
    </row>
    <row r="7" customFormat="false" ht="15" hidden="false" customHeight="true" outlineLevel="0" collapsed="false">
      <c r="B7" s="251" t="s">
        <v>276</v>
      </c>
      <c r="C7" s="251"/>
      <c r="D7" s="251"/>
      <c r="E7" s="251"/>
      <c r="F7" s="251"/>
      <c r="G7" s="251"/>
      <c r="H7" s="251"/>
      <c r="I7" s="251"/>
      <c r="J7" s="251"/>
    </row>
    <row r="8" customFormat="false" ht="15" hidden="false" customHeight="true" outlineLevel="0" collapsed="false">
      <c r="B8" s="252"/>
      <c r="C8" s="253"/>
      <c r="D8" s="136"/>
      <c r="E8" s="136"/>
      <c r="J8" s="250"/>
    </row>
    <row r="9" customFormat="false" ht="15" hidden="false" customHeight="true" outlineLevel="0" collapsed="false">
      <c r="B9" s="254" t="s">
        <v>277</v>
      </c>
      <c r="C9" s="254"/>
      <c r="D9" s="254"/>
      <c r="E9" s="254"/>
      <c r="F9" s="254"/>
      <c r="G9" s="254"/>
      <c r="H9" s="254"/>
      <c r="I9" s="254"/>
      <c r="J9" s="254"/>
    </row>
    <row r="10" customFormat="false" ht="15" hidden="false" customHeight="true" outlineLevel="0" collapsed="false">
      <c r="B10" s="255" t="s">
        <v>278</v>
      </c>
      <c r="C10" s="255"/>
      <c r="D10" s="255"/>
      <c r="E10" s="255"/>
      <c r="F10" s="255"/>
      <c r="G10" s="255"/>
      <c r="H10" s="255"/>
      <c r="I10" s="255"/>
      <c r="J10" s="255"/>
    </row>
    <row r="11" customFormat="false" ht="15" hidden="false" customHeight="true" outlineLevel="0" collapsed="false">
      <c r="B11" s="255" t="s">
        <v>279</v>
      </c>
      <c r="C11" s="255"/>
      <c r="D11" s="255"/>
      <c r="E11" s="255"/>
      <c r="F11" s="255"/>
      <c r="G11" s="255"/>
      <c r="H11" s="255"/>
      <c r="I11" s="255"/>
      <c r="J11" s="255"/>
    </row>
    <row r="12" customFormat="false" ht="15" hidden="false" customHeight="true" outlineLevel="0" collapsed="false">
      <c r="B12" s="255" t="s">
        <v>280</v>
      </c>
      <c r="C12" s="255"/>
      <c r="D12" s="255"/>
      <c r="E12" s="255"/>
      <c r="F12" s="255"/>
      <c r="G12" s="255"/>
      <c r="H12" s="255"/>
      <c r="I12" s="255"/>
      <c r="J12" s="255"/>
    </row>
    <row r="13" customFormat="false" ht="15" hidden="false" customHeight="true" outlineLevel="0" collapsed="false">
      <c r="B13" s="255" t="s">
        <v>281</v>
      </c>
      <c r="C13" s="255"/>
      <c r="D13" s="255"/>
      <c r="E13" s="255"/>
      <c r="F13" s="255"/>
      <c r="G13" s="255"/>
      <c r="H13" s="255"/>
      <c r="I13" s="255"/>
      <c r="J13" s="255"/>
    </row>
    <row r="14" customFormat="false" ht="15" hidden="false" customHeight="true" outlineLevel="0" collapsed="false">
      <c r="B14" s="255" t="s">
        <v>282</v>
      </c>
      <c r="C14" s="255"/>
      <c r="D14" s="255"/>
      <c r="E14" s="255"/>
      <c r="F14" s="255"/>
      <c r="G14" s="255"/>
      <c r="H14" s="255"/>
      <c r="I14" s="255"/>
      <c r="J14" s="255"/>
    </row>
    <row r="15" customFormat="false" ht="15" hidden="false" customHeight="true" outlineLevel="0" collapsed="false">
      <c r="B15" s="255" t="s">
        <v>283</v>
      </c>
      <c r="C15" s="255"/>
      <c r="D15" s="255"/>
      <c r="E15" s="255"/>
      <c r="F15" s="255"/>
      <c r="G15" s="255"/>
      <c r="H15" s="255"/>
      <c r="I15" s="255"/>
      <c r="J15" s="255"/>
    </row>
    <row r="16" customFormat="false" ht="15" hidden="false" customHeight="true" outlineLevel="0" collapsed="false">
      <c r="B16" s="256" t="s">
        <v>284</v>
      </c>
      <c r="C16" s="256"/>
      <c r="D16" s="256"/>
      <c r="E16" s="256"/>
      <c r="F16" s="256"/>
      <c r="G16" s="256"/>
      <c r="H16" s="256"/>
      <c r="I16" s="256"/>
      <c r="J16" s="256"/>
    </row>
    <row r="17" customFormat="false" ht="24.75" hidden="false" customHeight="true" outlineLevel="0" collapsed="false">
      <c r="D17" s="21"/>
    </row>
    <row r="18" customFormat="false" ht="14.25" hidden="false" customHeight="true" outlineLevel="0" collapsed="false">
      <c r="B18" s="33" t="s">
        <v>285</v>
      </c>
      <c r="C18" s="33"/>
      <c r="D18" s="257" t="s">
        <v>245</v>
      </c>
      <c r="E18" s="257" t="s">
        <v>245</v>
      </c>
      <c r="F18" s="257" t="s">
        <v>245</v>
      </c>
      <c r="G18" s="258" t="s">
        <v>245</v>
      </c>
      <c r="H18" s="259" t="s">
        <v>245</v>
      </c>
      <c r="I18" s="259" t="s">
        <v>245</v>
      </c>
      <c r="J18" s="259" t="s">
        <v>245</v>
      </c>
    </row>
    <row r="19" customFormat="false" ht="14.25" hidden="false" customHeight="false" outlineLevel="0" collapsed="false">
      <c r="B19" s="33"/>
      <c r="C19" s="33"/>
      <c r="D19" s="260" t="n">
        <v>0.05</v>
      </c>
      <c r="E19" s="260" t="n">
        <v>0.04</v>
      </c>
      <c r="F19" s="260" t="n">
        <v>0.035</v>
      </c>
      <c r="G19" s="261" t="n">
        <v>0.03</v>
      </c>
      <c r="H19" s="262" t="n">
        <v>0.025</v>
      </c>
      <c r="I19" s="262" t="n">
        <v>0.02</v>
      </c>
      <c r="J19" s="262" t="n">
        <v>0.015</v>
      </c>
    </row>
    <row r="20" customFormat="false" ht="15" hidden="false" customHeight="true" outlineLevel="0" collapsed="false">
      <c r="B20" s="263" t="s">
        <v>286</v>
      </c>
      <c r="C20" s="264" t="s">
        <v>287</v>
      </c>
      <c r="D20" s="265" t="n">
        <v>0.04</v>
      </c>
      <c r="E20" s="265" t="n">
        <v>0.04</v>
      </c>
      <c r="F20" s="265" t="n">
        <v>0.04</v>
      </c>
      <c r="G20" s="265" t="n">
        <v>0.04</v>
      </c>
      <c r="H20" s="265" t="n">
        <v>0.04</v>
      </c>
      <c r="I20" s="265" t="n">
        <v>0.04</v>
      </c>
      <c r="J20" s="265" t="n">
        <v>0.04</v>
      </c>
    </row>
    <row r="21" customFormat="false" ht="15" hidden="false" customHeight="true" outlineLevel="0" collapsed="false">
      <c r="B21" s="263" t="s">
        <v>288</v>
      </c>
      <c r="C21" s="237" t="s">
        <v>289</v>
      </c>
      <c r="D21" s="266" t="n">
        <v>0.0123</v>
      </c>
      <c r="E21" s="266" t="n">
        <v>0.0123</v>
      </c>
      <c r="F21" s="266" t="n">
        <v>0.0123</v>
      </c>
      <c r="G21" s="266" t="n">
        <v>0.0123</v>
      </c>
      <c r="H21" s="266" t="n">
        <v>0.0123</v>
      </c>
      <c r="I21" s="266" t="n">
        <v>0.0123</v>
      </c>
      <c r="J21" s="266" t="n">
        <v>0.0123</v>
      </c>
    </row>
    <row r="22" customFormat="false" ht="15" hidden="false" customHeight="true" outlineLevel="0" collapsed="false">
      <c r="B22" s="263" t="s">
        <v>290</v>
      </c>
      <c r="C22" s="237" t="s">
        <v>291</v>
      </c>
      <c r="D22" s="266" t="n">
        <v>0.008</v>
      </c>
      <c r="E22" s="266" t="n">
        <v>0.008</v>
      </c>
      <c r="F22" s="266" t="n">
        <v>0.008</v>
      </c>
      <c r="G22" s="266" t="n">
        <v>0.008</v>
      </c>
      <c r="H22" s="266" t="n">
        <v>0.008</v>
      </c>
      <c r="I22" s="266" t="n">
        <v>0.008</v>
      </c>
      <c r="J22" s="266" t="n">
        <v>0.008</v>
      </c>
    </row>
    <row r="23" customFormat="false" ht="15" hidden="false" customHeight="true" outlineLevel="0" collapsed="false">
      <c r="B23" s="263" t="s">
        <v>292</v>
      </c>
      <c r="C23" s="237" t="s">
        <v>293</v>
      </c>
      <c r="D23" s="266" t="n">
        <v>0.0127</v>
      </c>
      <c r="E23" s="266" t="n">
        <v>0.0127</v>
      </c>
      <c r="F23" s="266" t="n">
        <v>0.0127</v>
      </c>
      <c r="G23" s="266" t="n">
        <v>0.0127</v>
      </c>
      <c r="H23" s="266" t="n">
        <v>0.0127</v>
      </c>
      <c r="I23" s="266" t="n">
        <v>0.0127</v>
      </c>
      <c r="J23" s="266" t="n">
        <v>0.0127</v>
      </c>
    </row>
    <row r="24" customFormat="false" ht="15" hidden="false" customHeight="true" outlineLevel="0" collapsed="false">
      <c r="B24" s="263" t="s">
        <v>294</v>
      </c>
      <c r="C24" s="237" t="s">
        <v>295</v>
      </c>
      <c r="D24" s="266" t="n">
        <v>0.074</v>
      </c>
      <c r="E24" s="266" t="n">
        <v>0.074</v>
      </c>
      <c r="F24" s="266" t="n">
        <v>0.074</v>
      </c>
      <c r="G24" s="266" t="n">
        <v>0.074</v>
      </c>
      <c r="H24" s="266" t="n">
        <v>0.074</v>
      </c>
      <c r="I24" s="266" t="n">
        <v>0.074</v>
      </c>
      <c r="J24" s="266" t="n">
        <v>0.074</v>
      </c>
    </row>
    <row r="25" customFormat="false" ht="15" hidden="false" customHeight="true" outlineLevel="0" collapsed="false">
      <c r="B25" s="263" t="s">
        <v>195</v>
      </c>
      <c r="C25" s="237" t="s">
        <v>296</v>
      </c>
      <c r="D25" s="266" t="n">
        <v>0.0065</v>
      </c>
      <c r="E25" s="266" t="n">
        <v>0.0065</v>
      </c>
      <c r="F25" s="266" t="n">
        <v>0.0065</v>
      </c>
      <c r="G25" s="266" t="n">
        <v>0.0065</v>
      </c>
      <c r="H25" s="266" t="n">
        <v>0.0065</v>
      </c>
      <c r="I25" s="266" t="n">
        <v>0.0065</v>
      </c>
      <c r="J25" s="266" t="n">
        <v>0.0065</v>
      </c>
    </row>
    <row r="26" customFormat="false" ht="15" hidden="false" customHeight="true" outlineLevel="0" collapsed="false">
      <c r="B26" s="263"/>
      <c r="C26" s="263" t="s">
        <v>297</v>
      </c>
      <c r="D26" s="267" t="n">
        <v>0.03</v>
      </c>
      <c r="E26" s="267" t="n">
        <v>0.03</v>
      </c>
      <c r="F26" s="267" t="n">
        <v>0.03</v>
      </c>
      <c r="G26" s="267" t="n">
        <v>0.03</v>
      </c>
      <c r="H26" s="267" t="n">
        <v>0.03</v>
      </c>
      <c r="I26" s="267" t="n">
        <v>0.03</v>
      </c>
      <c r="J26" s="267" t="n">
        <v>0.03</v>
      </c>
    </row>
    <row r="27" customFormat="false" ht="15" hidden="false" customHeight="true" outlineLevel="0" collapsed="false">
      <c r="B27" s="263"/>
      <c r="C27" s="263" t="s">
        <v>245</v>
      </c>
      <c r="D27" s="267" t="n">
        <v>0.05</v>
      </c>
      <c r="E27" s="267" t="n">
        <v>0.04</v>
      </c>
      <c r="F27" s="266" t="n">
        <v>0.035</v>
      </c>
      <c r="G27" s="267" t="n">
        <v>0.03</v>
      </c>
      <c r="H27" s="267" t="n">
        <v>0.025</v>
      </c>
      <c r="I27" s="267" t="n">
        <v>0.02</v>
      </c>
      <c r="J27" s="266" t="n">
        <v>0.015</v>
      </c>
    </row>
    <row r="28" customFormat="false" ht="15" hidden="false" customHeight="true" outlineLevel="0" collapsed="false">
      <c r="B28" s="263"/>
      <c r="C28" s="263" t="s">
        <v>298</v>
      </c>
      <c r="D28" s="267" t="n">
        <v>0</v>
      </c>
      <c r="E28" s="267" t="n">
        <v>0</v>
      </c>
      <c r="F28" s="266" t="n">
        <v>0</v>
      </c>
      <c r="G28" s="267" t="n">
        <v>0</v>
      </c>
      <c r="H28" s="267" t="n">
        <v>0</v>
      </c>
      <c r="I28" s="267" t="n">
        <v>0</v>
      </c>
      <c r="J28" s="266" t="n">
        <v>0</v>
      </c>
    </row>
    <row r="29" customFormat="false" ht="19.5" hidden="false" customHeight="true" outlineLevel="0" collapsed="false">
      <c r="B29" s="134" t="s">
        <v>299</v>
      </c>
      <c r="C29" s="134"/>
      <c r="D29" s="37" t="n">
        <f aca="false">(((1+D22+D20+D23)*(1+D21)*(1+D24))/(1-(D25+D26+D27+D28))-1)</f>
        <v>0.262401597307061</v>
      </c>
      <c r="E29" s="37" t="n">
        <f aca="false">(((1+E22+E20+E23)*(1+E21)*(1+E24))/(1-(E25+E26+E27+E28))-1)</f>
        <v>0.248731845305902</v>
      </c>
      <c r="F29" s="37" t="n">
        <f aca="false">(((1+F22+F20+F23)*(1+F21)*(1+F24))/(1-(F25+F26+F27+F28))-1)</f>
        <v>0.24200738733441</v>
      </c>
      <c r="G29" s="37" t="n">
        <f aca="false">(((1+G22+G20+G23)*(1+G21)*(1+G24))/(1-(G25+G26+G27+G28))-1)</f>
        <v>0.235354964263524</v>
      </c>
      <c r="H29" s="37" t="n">
        <f aca="false">(((1+H22+H20+H23)*(1+H21)*(1+H24))/(1-(H25+H26+H27+H28))-1)</f>
        <v>0.22877342476292</v>
      </c>
      <c r="I29" s="37" t="n">
        <f aca="false">(((1+I22+I20+I23)*(1+I21)*(1+I24))/(1-(I25+I26+I27+I28))-1)</f>
        <v>0.22226164190779</v>
      </c>
      <c r="J29" s="37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68" t="s">
        <v>300</v>
      </c>
      <c r="C30" s="268"/>
      <c r="D30" s="269" t="n">
        <f aca="false">ROUND(D29,4)</f>
        <v>0.2624</v>
      </c>
      <c r="E30" s="269" t="n">
        <f aca="false">ROUND(E29,4)</f>
        <v>0.2487</v>
      </c>
      <c r="F30" s="269" t="n">
        <f aca="false">ROUND(F29,4)</f>
        <v>0.242</v>
      </c>
      <c r="G30" s="269" t="n">
        <f aca="false">ROUND(G29,4)</f>
        <v>0.2354</v>
      </c>
      <c r="H30" s="269" t="n">
        <f aca="false">ROUND(H29,4)</f>
        <v>0.2288</v>
      </c>
      <c r="I30" s="269" t="n">
        <f aca="false">ROUND(I29,4)</f>
        <v>0.2223</v>
      </c>
      <c r="J30" s="269" t="n">
        <f aca="false">ROUND(J29,4)</f>
        <v>0.2158</v>
      </c>
    </row>
    <row r="31" customFormat="false" ht="24.75" hidden="false" customHeight="true" outlineLevel="0" collapsed="false">
      <c r="B31" s="270"/>
      <c r="C31" s="270"/>
      <c r="D31" s="85"/>
      <c r="E31" s="85"/>
      <c r="F31" s="85"/>
      <c r="G31" s="85"/>
      <c r="H31" s="85"/>
      <c r="I31" s="85"/>
      <c r="J31" s="85"/>
    </row>
    <row r="32" customFormat="false" ht="14.25" hidden="false" customHeight="true" outlineLevel="0" collapsed="false">
      <c r="B32" s="33" t="s">
        <v>301</v>
      </c>
      <c r="C32" s="33"/>
      <c r="D32" s="257" t="s">
        <v>245</v>
      </c>
      <c r="E32" s="257" t="s">
        <v>245</v>
      </c>
      <c r="F32" s="257" t="s">
        <v>245</v>
      </c>
      <c r="G32" s="258" t="s">
        <v>245</v>
      </c>
      <c r="H32" s="259" t="s">
        <v>245</v>
      </c>
      <c r="I32" s="259" t="s">
        <v>245</v>
      </c>
      <c r="J32" s="259" t="s">
        <v>245</v>
      </c>
    </row>
    <row r="33" customFormat="false" ht="14.25" hidden="false" customHeight="false" outlineLevel="0" collapsed="false">
      <c r="B33" s="33"/>
      <c r="C33" s="33"/>
      <c r="D33" s="271" t="n">
        <v>0.05</v>
      </c>
      <c r="E33" s="271" t="n">
        <v>0.04</v>
      </c>
      <c r="F33" s="271" t="n">
        <v>0.035</v>
      </c>
      <c r="G33" s="272" t="n">
        <v>0.03</v>
      </c>
      <c r="H33" s="273" t="n">
        <v>0.025</v>
      </c>
      <c r="I33" s="273" t="n">
        <v>0.02</v>
      </c>
      <c r="J33" s="273" t="n">
        <v>0.015</v>
      </c>
    </row>
    <row r="34" customFormat="false" ht="15" hidden="false" customHeight="true" outlineLevel="0" collapsed="false">
      <c r="B34" s="263" t="s">
        <v>286</v>
      </c>
      <c r="C34" s="264" t="s">
        <v>287</v>
      </c>
      <c r="D34" s="266" t="n">
        <v>0.0345</v>
      </c>
      <c r="E34" s="266" t="n">
        <v>0.0345</v>
      </c>
      <c r="F34" s="266" t="n">
        <v>0.0345</v>
      </c>
      <c r="G34" s="266" t="n">
        <v>0.0345</v>
      </c>
      <c r="H34" s="266" t="n">
        <v>0.0345</v>
      </c>
      <c r="I34" s="266" t="n">
        <v>0.0345</v>
      </c>
      <c r="J34" s="266" t="n">
        <v>0.0345</v>
      </c>
    </row>
    <row r="35" customFormat="false" ht="15" hidden="false" customHeight="true" outlineLevel="0" collapsed="false">
      <c r="B35" s="263" t="s">
        <v>288</v>
      </c>
      <c r="C35" s="237" t="s">
        <v>289</v>
      </c>
      <c r="D35" s="266" t="n">
        <v>0.0085</v>
      </c>
      <c r="E35" s="266" t="n">
        <v>0.0085</v>
      </c>
      <c r="F35" s="266" t="n">
        <v>0.0085</v>
      </c>
      <c r="G35" s="266" t="n">
        <v>0.0085</v>
      </c>
      <c r="H35" s="266" t="n">
        <v>0.0085</v>
      </c>
      <c r="I35" s="266" t="n">
        <v>0.0085</v>
      </c>
      <c r="J35" s="266" t="n">
        <v>0.0085</v>
      </c>
    </row>
    <row r="36" customFormat="false" ht="15" hidden="false" customHeight="true" outlineLevel="0" collapsed="false">
      <c r="B36" s="263" t="s">
        <v>290</v>
      </c>
      <c r="C36" s="237" t="s">
        <v>291</v>
      </c>
      <c r="D36" s="266" t="n">
        <v>0.0048</v>
      </c>
      <c r="E36" s="266" t="n">
        <v>0.0048</v>
      </c>
      <c r="F36" s="266" t="n">
        <v>0.0048</v>
      </c>
      <c r="G36" s="266" t="n">
        <v>0.0048</v>
      </c>
      <c r="H36" s="266" t="n">
        <v>0.0048</v>
      </c>
      <c r="I36" s="266" t="n">
        <v>0.0048</v>
      </c>
      <c r="J36" s="266" t="n">
        <v>0.0048</v>
      </c>
    </row>
    <row r="37" customFormat="false" ht="15" hidden="false" customHeight="true" outlineLevel="0" collapsed="false">
      <c r="B37" s="263" t="s">
        <v>292</v>
      </c>
      <c r="C37" s="237" t="s">
        <v>293</v>
      </c>
      <c r="D37" s="266" t="n">
        <v>0.0085</v>
      </c>
      <c r="E37" s="266" t="n">
        <v>0.0085</v>
      </c>
      <c r="F37" s="266" t="n">
        <v>0.0085</v>
      </c>
      <c r="G37" s="266" t="n">
        <v>0.0085</v>
      </c>
      <c r="H37" s="266" t="n">
        <v>0.0085</v>
      </c>
      <c r="I37" s="266" t="n">
        <v>0.0085</v>
      </c>
      <c r="J37" s="266" t="n">
        <v>0.0085</v>
      </c>
    </row>
    <row r="38" customFormat="false" ht="15" hidden="false" customHeight="true" outlineLevel="0" collapsed="false">
      <c r="B38" s="263" t="s">
        <v>294</v>
      </c>
      <c r="C38" s="237" t="s">
        <v>295</v>
      </c>
      <c r="D38" s="266" t="n">
        <v>0.0511</v>
      </c>
      <c r="E38" s="266" t="n">
        <v>0.0511</v>
      </c>
      <c r="F38" s="266" t="n">
        <v>0.0511</v>
      </c>
      <c r="G38" s="266" t="n">
        <v>0.0511</v>
      </c>
      <c r="H38" s="266" t="n">
        <v>0.0511</v>
      </c>
      <c r="I38" s="266" t="n">
        <v>0.0511</v>
      </c>
      <c r="J38" s="266" t="n">
        <v>0.0511</v>
      </c>
    </row>
    <row r="39" customFormat="false" ht="15" hidden="false" customHeight="true" outlineLevel="0" collapsed="false">
      <c r="B39" s="263" t="s">
        <v>195</v>
      </c>
      <c r="C39" s="237" t="s">
        <v>296</v>
      </c>
      <c r="D39" s="266" t="n">
        <v>0.0065</v>
      </c>
      <c r="E39" s="266" t="n">
        <v>0.0065</v>
      </c>
      <c r="F39" s="266" t="n">
        <v>0.0065</v>
      </c>
      <c r="G39" s="266" t="n">
        <v>0.0065</v>
      </c>
      <c r="H39" s="266" t="n">
        <v>0.0065</v>
      </c>
      <c r="I39" s="266" t="n">
        <v>0.0065</v>
      </c>
      <c r="J39" s="266" t="n">
        <v>0.0065</v>
      </c>
    </row>
    <row r="40" customFormat="false" ht="15" hidden="false" customHeight="true" outlineLevel="0" collapsed="false">
      <c r="B40" s="263"/>
      <c r="C40" s="263" t="s">
        <v>297</v>
      </c>
      <c r="D40" s="267" t="n">
        <v>0.03</v>
      </c>
      <c r="E40" s="267" t="n">
        <v>0.03</v>
      </c>
      <c r="F40" s="267" t="n">
        <v>0.03</v>
      </c>
      <c r="G40" s="267" t="n">
        <v>0.03</v>
      </c>
      <c r="H40" s="267" t="n">
        <v>0.03</v>
      </c>
      <c r="I40" s="267" t="n">
        <v>0.03</v>
      </c>
      <c r="J40" s="267" t="n">
        <v>0.03</v>
      </c>
    </row>
    <row r="41" customFormat="false" ht="15" hidden="false" customHeight="true" outlineLevel="0" collapsed="false">
      <c r="B41" s="263"/>
      <c r="C41" s="263" t="s">
        <v>245</v>
      </c>
      <c r="D41" s="267" t="n">
        <v>0</v>
      </c>
      <c r="E41" s="267" t="n">
        <v>0</v>
      </c>
      <c r="F41" s="266" t="n">
        <v>0</v>
      </c>
      <c r="G41" s="267" t="n">
        <v>0</v>
      </c>
      <c r="H41" s="267" t="n">
        <v>0</v>
      </c>
      <c r="I41" s="267" t="n">
        <v>0</v>
      </c>
      <c r="J41" s="266" t="n">
        <v>0</v>
      </c>
    </row>
    <row r="42" customFormat="false" ht="15" hidden="false" customHeight="true" outlineLevel="0" collapsed="false">
      <c r="B42" s="263"/>
      <c r="C42" s="263" t="s">
        <v>298</v>
      </c>
      <c r="D42" s="267" t="n">
        <v>0</v>
      </c>
      <c r="E42" s="267" t="n">
        <v>0</v>
      </c>
      <c r="F42" s="266" t="n">
        <v>0</v>
      </c>
      <c r="G42" s="267" t="n">
        <v>0</v>
      </c>
      <c r="H42" s="267" t="n">
        <v>0</v>
      </c>
      <c r="I42" s="267" t="n">
        <v>0</v>
      </c>
      <c r="J42" s="266" t="n">
        <v>0</v>
      </c>
    </row>
    <row r="43" customFormat="false" ht="19.5" hidden="false" customHeight="true" outlineLevel="0" collapsed="false">
      <c r="B43" s="89" t="s">
        <v>299</v>
      </c>
      <c r="C43" s="89"/>
      <c r="D43" s="37" t="n">
        <f aca="false">(((1+D36+D34+D37)*(1+D35)*(1+D38))/(1-(D39+D40+D41+D42))-1)</f>
        <v>0.152780479429164</v>
      </c>
      <c r="E43" s="37" t="n">
        <f aca="false">(((1+E36+E34+E37)*(1+E35)*(1+E38))/(1-(E39+E40+E41+E42))-1)</f>
        <v>0.152780479429164</v>
      </c>
      <c r="F43" s="37" t="n">
        <f aca="false">(((1+F36+F34+F37)*(1+F35)*(1+F38))/(1-(F39+F40+F41+F42))-1)</f>
        <v>0.152780479429164</v>
      </c>
      <c r="G43" s="37" t="n">
        <f aca="false">(((1+G36+G34+G37)*(1+G35)*(1+G38))/(1-(G39+G40+G41+G42))-1)</f>
        <v>0.152780479429164</v>
      </c>
      <c r="H43" s="37" t="n">
        <f aca="false">(((1+H36+H34+H37)*(1+H35)*(1+H38))/(1-(H39+H40+H41+H42))-1)</f>
        <v>0.152780479429164</v>
      </c>
      <c r="I43" s="37" t="n">
        <f aca="false">(((1+I36+I34+I37)*(1+I35)*(1+I38))/(1-(I39+I40+I41+I42))-1)</f>
        <v>0.152780479429164</v>
      </c>
      <c r="J43" s="37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74" t="s">
        <v>300</v>
      </c>
      <c r="C44" s="274"/>
      <c r="D44" s="269" t="n">
        <f aca="false">ROUND(D43,4)</f>
        <v>0.1528</v>
      </c>
      <c r="E44" s="269" t="n">
        <f aca="false">ROUND(E43,4)</f>
        <v>0.1528</v>
      </c>
      <c r="F44" s="269" t="n">
        <f aca="false">ROUND(F43,4)</f>
        <v>0.1528</v>
      </c>
      <c r="G44" s="269" t="n">
        <f aca="false">ROUND(G43,4)</f>
        <v>0.1528</v>
      </c>
      <c r="H44" s="269" t="n">
        <f aca="false">ROUND(H43,4)</f>
        <v>0.1528</v>
      </c>
      <c r="I44" s="269" t="n">
        <f aca="false">ROUND(I43,4)</f>
        <v>0.1528</v>
      </c>
      <c r="J44" s="269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2:AMD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6" activeCellId="0" sqref="M26"/>
    </sheetView>
  </sheetViews>
  <sheetFormatPr defaultColWidth="8.37890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7" width="9.12"/>
    <col collapsed="false" customWidth="true" hidden="false" outlineLevel="0" max="4" min="4" style="17" width="12.25"/>
    <col collapsed="false" customWidth="true" hidden="false" outlineLevel="0" max="5" min="5" style="17" width="13.62"/>
    <col collapsed="false" customWidth="true" hidden="false" outlineLevel="0" max="6" min="6" style="17" width="7"/>
    <col collapsed="false" customWidth="true" hidden="false" outlineLevel="0" max="7" min="7" style="17" width="11.88"/>
    <col collapsed="false" customWidth="true" hidden="false" outlineLevel="0" max="8" min="8" style="17" width="13.25"/>
    <col collapsed="false" customWidth="true" hidden="false" outlineLevel="0" max="9" min="9" style="17" width="12.76"/>
    <col collapsed="false" customWidth="true" hidden="false" outlineLevel="0" max="11" min="10" style="17" width="13"/>
    <col collapsed="false" customWidth="true" hidden="false" outlineLevel="0" max="13" min="12" style="17" width="9.25"/>
    <col collapsed="false" customWidth="true" hidden="false" outlineLevel="0" max="248" min="14" style="17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5" t="str">
        <f aca="false">"DIVISÃO DOS CUSTOS POR ALÍQUOTA DE ISSQN - "&amp;'Valor da Contratação'!B7&amp;""</f>
        <v>DIVISÃO DOS CUSTOS POR ALÍQUOTA DE ISSQN - POLO IV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customFormat="false" ht="16.5" hidden="false" customHeight="true" outlineLevel="0" collapsed="false"/>
    <row r="4" customFormat="false" ht="45.75" hidden="false" customHeight="true" outlineLevel="0" collapsed="false">
      <c r="B4" s="275" t="s">
        <v>41</v>
      </c>
      <c r="C4" s="276" t="s">
        <v>302</v>
      </c>
      <c r="D4" s="276" t="s">
        <v>303</v>
      </c>
      <c r="E4" s="276" t="s">
        <v>304</v>
      </c>
      <c r="F4" s="277"/>
      <c r="G4" s="276" t="s">
        <v>305</v>
      </c>
      <c r="H4" s="276" t="s">
        <v>306</v>
      </c>
      <c r="I4" s="276" t="s">
        <v>307</v>
      </c>
      <c r="J4" s="276" t="s">
        <v>308</v>
      </c>
      <c r="K4" s="276" t="s">
        <v>309</v>
      </c>
      <c r="L4" s="276" t="s">
        <v>310</v>
      </c>
      <c r="M4" s="276" t="s">
        <v>311</v>
      </c>
    </row>
    <row r="5" customFormat="false" ht="15" hidden="false" customHeight="true" outlineLevel="0" collapsed="false">
      <c r="B5" s="65" t="s">
        <v>81</v>
      </c>
      <c r="C5" s="278" t="n">
        <f aca="false">VLOOKUP(B5,Unidades!$D$5:$G$24,4,)</f>
        <v>0.03</v>
      </c>
      <c r="D5" s="279" t="n">
        <f aca="false">'Base Blumenau'!AD7*12+'Base Blumenau'!AE7*4+'Base Blumenau'!AF7*2+'Base Blumenau'!AG7</f>
        <v>13849.0607122238</v>
      </c>
      <c r="E5" s="279" t="n">
        <f aca="false">'Base Blumenau'!AK7*12+'Base Blumenau'!AL7*4+'Base Blumenau'!AM7*2+'Base Blumenau'!AN7</f>
        <v>17109.1296038813</v>
      </c>
      <c r="G5" s="267" t="n">
        <v>0.015</v>
      </c>
      <c r="H5" s="280" t="n">
        <f aca="false">SUMIF(C$5:C$24,G5,D$5:D$24)</f>
        <v>0</v>
      </c>
      <c r="I5" s="280" t="n">
        <f aca="false">SUMIF(C$5:C$24,G5,E$5:E$24)</f>
        <v>0</v>
      </c>
      <c r="J5" s="280" t="n">
        <f aca="false">H5*4</f>
        <v>0</v>
      </c>
      <c r="K5" s="280" t="n">
        <f aca="false">I5*4</f>
        <v>0</v>
      </c>
      <c r="L5" s="281" t="n">
        <f aca="false">H5/H$14</f>
        <v>0</v>
      </c>
      <c r="M5" s="281" t="n">
        <f aca="false">I5/I$14</f>
        <v>0</v>
      </c>
    </row>
    <row r="6" customFormat="false" ht="15" hidden="false" customHeight="true" outlineLevel="0" collapsed="false">
      <c r="B6" s="65" t="s">
        <v>83</v>
      </c>
      <c r="C6" s="278" t="n">
        <f aca="false">VLOOKUP(B6,Unidades!$D$5:$G$24,4,)</f>
        <v>0.02</v>
      </c>
      <c r="D6" s="279" t="n">
        <f aca="false">'Base Blumenau'!AD8*12+'Base Blumenau'!AE8*4+'Base Blumenau'!AF8*2+'Base Blumenau'!AG8</f>
        <v>17218.8442476553</v>
      </c>
      <c r="E6" s="279" t="n">
        <f aca="false">'Base Blumenau'!AK8*12+'Base Blumenau'!AL8*4+'Base Blumenau'!AM8*2+'Base Blumenau'!AN8</f>
        <v>21046.5933239091</v>
      </c>
      <c r="G6" s="267" t="n">
        <v>0.02</v>
      </c>
      <c r="H6" s="280" t="n">
        <f aca="false">SUMIF(C$5:C$24,G6,D$5:D$24)</f>
        <v>178533.56196753</v>
      </c>
      <c r="I6" s="280" t="n">
        <f aca="false">SUMIF(C$5:C$24,G6,E$5:E$24)</f>
        <v>218221.572792912</v>
      </c>
      <c r="J6" s="280" t="n">
        <f aca="false">H6*4</f>
        <v>714134.247870121</v>
      </c>
      <c r="K6" s="280" t="n">
        <f aca="false">I6*4</f>
        <v>872886.291171648</v>
      </c>
      <c r="L6" s="281" t="n">
        <f aca="false">H6/H$14</f>
        <v>0.583221574153288</v>
      </c>
      <c r="M6" s="281" t="n">
        <f aca="false">I6/I$14</f>
        <v>0.579012849923459</v>
      </c>
    </row>
    <row r="7" customFormat="false" ht="15" hidden="false" customHeight="true" outlineLevel="0" collapsed="false">
      <c r="B7" s="65" t="s">
        <v>85</v>
      </c>
      <c r="C7" s="278" t="n">
        <f aca="false">VLOOKUP(B7,Unidades!$D$5:$G$24,4,)</f>
        <v>0.04</v>
      </c>
      <c r="D7" s="279" t="n">
        <f aca="false">'Base Blumenau'!AD9*12+'Base Blumenau'!AE9*4+'Base Blumenau'!AF9*2+'Base Blumenau'!AG9</f>
        <v>14107.4675202474</v>
      </c>
      <c r="E7" s="279" t="n">
        <f aca="false">'Base Blumenau'!AK9*12+'Base Blumenau'!AL9*4+'Base Blumenau'!AM9*2+'Base Blumenau'!AN9</f>
        <v>17615.9946925329</v>
      </c>
      <c r="G7" s="267" t="n">
        <v>0.025</v>
      </c>
      <c r="H7" s="280" t="n">
        <f aca="false">SUMIF(C$5:C$24,G7,D$5:D$24)</f>
        <v>0</v>
      </c>
      <c r="I7" s="280" t="n">
        <f aca="false">SUMIF(C$5:C$24,G7,E$5:E$24)</f>
        <v>0</v>
      </c>
      <c r="J7" s="280" t="n">
        <f aca="false">H7*4</f>
        <v>0</v>
      </c>
      <c r="K7" s="280" t="n">
        <f aca="false">I7*4</f>
        <v>0</v>
      </c>
      <c r="L7" s="281" t="n">
        <f aca="false">H7/H$14</f>
        <v>0</v>
      </c>
      <c r="M7" s="281" t="n">
        <f aca="false">I7/I$14</f>
        <v>0</v>
      </c>
    </row>
    <row r="8" customFormat="false" ht="15" hidden="false" customHeight="true" outlineLevel="0" collapsed="false">
      <c r="B8" s="65" t="s">
        <v>86</v>
      </c>
      <c r="C8" s="278" t="n">
        <f aca="false">VLOOKUP(B8,Unidades!$D$5:$G$24,4,)</f>
        <v>0.03</v>
      </c>
      <c r="D8" s="279" t="n">
        <f aca="false">'Base Blumenau'!AD10*12+'Base Blumenau'!AE10*4+'Base Blumenau'!AF10*2+'Base Blumenau'!AG10</f>
        <v>11082.0090062945</v>
      </c>
      <c r="E8" s="279" t="n">
        <f aca="false">'Base Blumenau'!AK10*12+'Base Blumenau'!AL10*4+'Base Blumenau'!AM10*2+'Base Blumenau'!AN10</f>
        <v>13690.7139263763</v>
      </c>
      <c r="G8" s="267" t="n">
        <v>0.03</v>
      </c>
      <c r="H8" s="280" t="n">
        <f aca="false">SUMIF(C$5:C$24,G8,D$5:D$24)</f>
        <v>62749.2560330877</v>
      </c>
      <c r="I8" s="280" t="n">
        <f aca="false">SUMIF(C$5:C$24,G8,E$5:E$24)</f>
        <v>77520.4309032765</v>
      </c>
      <c r="J8" s="280" t="n">
        <f aca="false">H8*4</f>
        <v>250997.024132351</v>
      </c>
      <c r="K8" s="280" t="n">
        <f aca="false">I8*4</f>
        <v>310081.723613106</v>
      </c>
      <c r="L8" s="281" t="n">
        <f aca="false">H8/H$14</f>
        <v>0.204985099032645</v>
      </c>
      <c r="M8" s="281" t="n">
        <f aca="false">I8/I$14</f>
        <v>0.205686931177955</v>
      </c>
    </row>
    <row r="9" customFormat="false" ht="15" hidden="false" customHeight="true" outlineLevel="0" collapsed="false">
      <c r="A9" s="26"/>
      <c r="B9" s="65" t="s">
        <v>87</v>
      </c>
      <c r="C9" s="278" t="n">
        <f aca="false">VLOOKUP(B9,Unidades!$D$5:$G$24,4,)</f>
        <v>0.02</v>
      </c>
      <c r="D9" s="279" t="n">
        <f aca="false">'Base Blumenau'!AD11*12+'Base Blumenau'!AE11*4+'Base Blumenau'!AF11*2+'Base Blumenau'!AG11</f>
        <v>16792.9431556789</v>
      </c>
      <c r="E9" s="279" t="n">
        <f aca="false">'Base Blumenau'!AK11*12+'Base Blumenau'!AL11*4+'Base Blumenau'!AM11*2+'Base Blumenau'!AN11</f>
        <v>20526.0144191863</v>
      </c>
      <c r="F9" s="26"/>
      <c r="G9" s="267" t="n">
        <v>0.035</v>
      </c>
      <c r="H9" s="280" t="n">
        <f aca="false">SUMIF(C$5:C$24,G9,D$5:D$24)</f>
        <v>24942.5127585183</v>
      </c>
      <c r="I9" s="280" t="n">
        <f aca="false">SUMIF(C$5:C$24,G9,E$5:E$24)</f>
        <v>30978.6008460798</v>
      </c>
      <c r="J9" s="280" t="n">
        <f aca="false">H9*4</f>
        <v>99770.0510340733</v>
      </c>
      <c r="K9" s="280" t="n">
        <f aca="false">I9*4</f>
        <v>123914.403384319</v>
      </c>
      <c r="L9" s="281" t="n">
        <f aca="false">H9/H$14</f>
        <v>0.081480542896507</v>
      </c>
      <c r="M9" s="281" t="n">
        <f aca="false">I9/I$14</f>
        <v>0.0821963096176188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34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</row>
    <row r="10" customFormat="false" ht="15" hidden="false" customHeight="true" outlineLevel="0" collapsed="false">
      <c r="A10" s="26"/>
      <c r="B10" s="65" t="s">
        <v>89</v>
      </c>
      <c r="C10" s="278" t="n">
        <f aca="false">VLOOKUP(B10,Unidades!$D$5:$G$24,4,)</f>
        <v>0.02</v>
      </c>
      <c r="D10" s="279" t="n">
        <f aca="false">'Base Blumenau'!AD12*12+'Base Blumenau'!AE12*4+'Base Blumenau'!AF12*2+'Base Blumenau'!AG12</f>
        <v>11799.9142429612</v>
      </c>
      <c r="E10" s="279" t="n">
        <f aca="false">'Base Blumenau'!AK12*12+'Base Blumenau'!AL12*4+'Base Blumenau'!AM12*2+'Base Blumenau'!AN12</f>
        <v>14423.0351791715</v>
      </c>
      <c r="F10" s="26"/>
      <c r="G10" s="267" t="n">
        <v>0.04</v>
      </c>
      <c r="H10" s="280" t="n">
        <f aca="false">SUMIF(C$5:C$24,G10,D$5:D$24)</f>
        <v>14107.4675202474</v>
      </c>
      <c r="I10" s="280" t="n">
        <f aca="false">SUMIF(C$5:C$24,G10,E$5:E$24)</f>
        <v>17615.9946925329</v>
      </c>
      <c r="J10" s="280" t="n">
        <f aca="false">H10*4</f>
        <v>56429.8700809895</v>
      </c>
      <c r="K10" s="280" t="n">
        <f aca="false">I10*4</f>
        <v>70463.9787701316</v>
      </c>
      <c r="L10" s="281" t="n">
        <f aca="false">H10/H$14</f>
        <v>0.0460853372542437</v>
      </c>
      <c r="M10" s="281" t="n">
        <f aca="false">I10/I$14</f>
        <v>0.046740966810094</v>
      </c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34"/>
    </row>
    <row r="11" customFormat="false" ht="15" hidden="false" customHeight="true" outlineLevel="0" collapsed="false">
      <c r="B11" s="65" t="s">
        <v>90</v>
      </c>
      <c r="C11" s="278" t="n">
        <f aca="false">VLOOKUP(B11,Unidades!$D$5:$G$24,4,)</f>
        <v>0.035</v>
      </c>
      <c r="D11" s="279" t="n">
        <f aca="false">'Base Blumenau'!AD13*12+'Base Blumenau'!AE13*4+'Base Blumenau'!AF13*2+'Base Blumenau'!AG13</f>
        <v>11848.6926862945</v>
      </c>
      <c r="E11" s="279" t="n">
        <f aca="false">'Base Blumenau'!AK13*12+'Base Blumenau'!AL13*4+'Base Blumenau'!AM13*2+'Base Blumenau'!AN13</f>
        <v>14716.0763163778</v>
      </c>
      <c r="G11" s="267" t="n">
        <v>0.045</v>
      </c>
      <c r="H11" s="280" t="n">
        <f aca="false">SUMIF(C$5:C$24,G11,D$5:D$24)</f>
        <v>0</v>
      </c>
      <c r="I11" s="280" t="n">
        <f aca="false">SUMIF(C$5:C$24,G11,E$5:E$24)</f>
        <v>0</v>
      </c>
      <c r="J11" s="280" t="n">
        <f aca="false">H11*4</f>
        <v>0</v>
      </c>
      <c r="K11" s="280" t="n">
        <f aca="false">I11*4</f>
        <v>0</v>
      </c>
      <c r="L11" s="281" t="n">
        <f aca="false">H11/H$14</f>
        <v>0</v>
      </c>
      <c r="M11" s="281" t="n">
        <f aca="false">I11/I$14</f>
        <v>0</v>
      </c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</row>
    <row r="12" customFormat="false" ht="15" hidden="false" customHeight="true" outlineLevel="0" collapsed="false">
      <c r="B12" s="65" t="s">
        <v>92</v>
      </c>
      <c r="C12" s="278" t="n">
        <f aca="false">VLOOKUP(B12,Unidades!$D$5:$G$24,4,)</f>
        <v>0.02</v>
      </c>
      <c r="D12" s="279" t="n">
        <f aca="false">'Base Blumenau'!AD14*12+'Base Blumenau'!AE14*4+'Base Blumenau'!AF14*2+'Base Blumenau'!AG14</f>
        <v>17502.2705556789</v>
      </c>
      <c r="E12" s="279" t="n">
        <f aca="false">'Base Blumenau'!AK14*12+'Base Blumenau'!AL14*4+'Base Blumenau'!AM14*2+'Base Blumenau'!AN14</f>
        <v>21393.0253002063</v>
      </c>
      <c r="G12" s="267" t="n">
        <v>0.05</v>
      </c>
      <c r="H12" s="280" t="n">
        <f aca="false">SUMIF(C$5:C$24,G12,D$5:D$24)</f>
        <v>25783.3844539498</v>
      </c>
      <c r="I12" s="280" t="n">
        <f aca="false">SUMIF(C$5:C$24,G12,E$5:E$24)</f>
        <v>32548.9445346663</v>
      </c>
      <c r="J12" s="280" t="n">
        <f aca="false">H12*4</f>
        <v>103133.537815799</v>
      </c>
      <c r="K12" s="280" t="n">
        <f aca="false">I12*4</f>
        <v>130195.778138665</v>
      </c>
      <c r="L12" s="281" t="n">
        <f aca="false">H12/H$14</f>
        <v>0.0842274466633164</v>
      </c>
      <c r="M12" s="281" t="n">
        <f aca="false">I12/I$14</f>
        <v>0.0863629424708732</v>
      </c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</row>
    <row r="13" customFormat="false" ht="15" hidden="false" customHeight="true" outlineLevel="0" collapsed="false">
      <c r="A13" s="17"/>
      <c r="B13" s="65" t="s">
        <v>93</v>
      </c>
      <c r="C13" s="278" t="n">
        <f aca="false">VLOOKUP(B13,Unidades!$D$5:$G$24,4,)</f>
        <v>0.035</v>
      </c>
      <c r="D13" s="279" t="n">
        <f aca="false">'Base Blumenau'!AD15*12+'Base Blumenau'!AE15*4+'Base Blumenau'!AF15*2+'Base Blumenau'!AG15</f>
        <v>13093.8200722238</v>
      </c>
      <c r="E13" s="279" t="n">
        <f aca="false">'Base Blumenau'!AK15*12+'Base Blumenau'!AL15*4+'Base Blumenau'!AM15*2+'Base Blumenau'!AN15</f>
        <v>16262.524529702</v>
      </c>
      <c r="G13" s="18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</row>
    <row r="14" customFormat="false" ht="15" hidden="false" customHeight="true" outlineLevel="0" collapsed="false">
      <c r="A14" s="17"/>
      <c r="B14" s="65" t="s">
        <v>95</v>
      </c>
      <c r="C14" s="278" t="n">
        <f aca="false">VLOOKUP(B14,Unidades!$D$5:$G$24,4,)</f>
        <v>0.05</v>
      </c>
      <c r="D14" s="279" t="n">
        <f aca="false">'Base Blumenau'!AD16*12+'Base Blumenau'!AE16*4+'Base Blumenau'!AF16*2+'Base Blumenau'!AG16</f>
        <v>10200.8949262945</v>
      </c>
      <c r="E14" s="279" t="n">
        <f aca="false">'Base Blumenau'!AK16*12+'Base Blumenau'!AL16*4+'Base Blumenau'!AM16*2+'Base Blumenau'!AN16</f>
        <v>12877.6097549542</v>
      </c>
      <c r="G14" s="276" t="s">
        <v>97</v>
      </c>
      <c r="H14" s="282" t="n">
        <f aca="false">SUM(H5:H12)</f>
        <v>306116.182733333</v>
      </c>
      <c r="I14" s="282" t="n">
        <f aca="false">SUM(I5:I12)</f>
        <v>376885.543769467</v>
      </c>
      <c r="J14" s="282" t="n">
        <f aca="false">SUM(J5:J12)</f>
        <v>1224464.73093333</v>
      </c>
      <c r="K14" s="282" t="n">
        <f aca="false">SUM(K5:K12)</f>
        <v>1507542.17507787</v>
      </c>
      <c r="L14" s="283" t="n">
        <f aca="false">SUM(L5:L12)</f>
        <v>1</v>
      </c>
      <c r="M14" s="283" t="n">
        <f aca="false">SUM(M5:M12)</f>
        <v>1</v>
      </c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</row>
    <row r="15" customFormat="false" ht="15" hidden="false" customHeight="true" outlineLevel="0" collapsed="false">
      <c r="A15" s="17"/>
      <c r="B15" s="65" t="s">
        <v>96</v>
      </c>
      <c r="C15" s="278" t="n">
        <f aca="false">VLOOKUP(B15,Unidades!$D$5:$G$24,4,)</f>
        <v>0.05</v>
      </c>
      <c r="D15" s="279" t="n">
        <f aca="false">'Base Blumenau'!AD17*12+'Base Blumenau'!AE17*4+'Base Blumenau'!AF17*2+'Base Blumenau'!AG17</f>
        <v>15582.4895276553</v>
      </c>
      <c r="E15" s="279" t="n">
        <f aca="false">'Base Blumenau'!AK17*12+'Base Blumenau'!AL17*4+'Base Blumenau'!AM17*2+'Base Blumenau'!AN17</f>
        <v>19671.3347797121</v>
      </c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</row>
    <row r="16" customFormat="false" ht="15" hidden="false" customHeight="true" outlineLevel="0" collapsed="false">
      <c r="A16" s="17"/>
      <c r="B16" s="65" t="s">
        <v>130</v>
      </c>
      <c r="C16" s="278" t="n">
        <f aca="false">VLOOKUP(B16,Unidades!$D$5:$G$24,4,)</f>
        <v>0.03</v>
      </c>
      <c r="D16" s="279" t="n">
        <f aca="false">'Base Joinville'!AD7*12+'Base Joinville'!AE7*4+'Base Joinville'!AF7*2+'Base Joinville'!AG7</f>
        <v>25099.8225882748</v>
      </c>
      <c r="E16" s="279" t="n">
        <f aca="false">'Base Joinville'!AK7*12+'Base Joinville'!AL7*4+'Base Joinville'!AM7*2+'Base Joinville'!AN7</f>
        <v>31008.3208255547</v>
      </c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</row>
    <row r="17" customFormat="false" ht="15" hidden="false" customHeight="true" outlineLevel="0" collapsed="false">
      <c r="A17" s="17"/>
      <c r="B17" s="65" t="s">
        <v>131</v>
      </c>
      <c r="C17" s="278" t="n">
        <f aca="false">VLOOKUP(B17,Unidades!$D$5:$G$24,4,)</f>
        <v>0.02</v>
      </c>
      <c r="D17" s="279" t="n">
        <f aca="false">'Base Joinville'!AD8*12+'Base Joinville'!AE8*4+'Base Joinville'!AF8*2+'Base Joinville'!AG8</f>
        <v>11315.2071862945</v>
      </c>
      <c r="E17" s="279" t="n">
        <f aca="false">'Base Joinville'!AK8*12+'Base Joinville'!AL8*4+'Base Joinville'!AM8*2+'Base Joinville'!AN8</f>
        <v>13830.5777438078</v>
      </c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</row>
    <row r="18" customFormat="false" ht="15" hidden="false" customHeight="true" outlineLevel="0" collapsed="false">
      <c r="A18" s="17"/>
      <c r="B18" s="65" t="s">
        <v>132</v>
      </c>
      <c r="C18" s="278" t="n">
        <f aca="false">VLOOKUP(B18,Unidades!$D$5:$G$24,4,)</f>
        <v>0.02</v>
      </c>
      <c r="D18" s="279" t="n">
        <f aca="false">'Base Joinville'!AD9*12+'Base Joinville'!AE9*4+'Base Joinville'!AF9*2+'Base Joinville'!AG9</f>
        <v>18411.0271649415</v>
      </c>
      <c r="E18" s="279" t="n">
        <f aca="false">'Base Joinville'!AK9*12+'Base Joinville'!AL9*4+'Base Joinville'!AM9*2+'Base Joinville'!AN9</f>
        <v>22503.798503708</v>
      </c>
      <c r="IO18" s="17"/>
      <c r="IP18" s="26"/>
      <c r="IQ18" s="26"/>
      <c r="IR18" s="26"/>
      <c r="IS18" s="26"/>
      <c r="IT18" s="26"/>
      <c r="IU18" s="26"/>
      <c r="IV18" s="26"/>
      <c r="IW18" s="26"/>
      <c r="IX18" s="26"/>
      <c r="IY18" s="26"/>
      <c r="IZ18" s="26"/>
      <c r="JA18" s="26"/>
      <c r="JB18" s="26"/>
      <c r="JC18" s="26"/>
      <c r="JD18" s="26"/>
      <c r="JE18" s="26"/>
      <c r="JF18" s="26"/>
      <c r="JG18" s="26"/>
      <c r="JH18" s="26"/>
      <c r="JI18" s="26"/>
      <c r="JJ18" s="26"/>
      <c r="JK18" s="26"/>
      <c r="JL18" s="26"/>
      <c r="JM18" s="26"/>
      <c r="JN18" s="26"/>
      <c r="JO18" s="26"/>
      <c r="JP18" s="26"/>
      <c r="JQ18" s="26"/>
      <c r="JR18" s="26"/>
      <c r="JS18" s="26"/>
      <c r="JT18" s="26"/>
      <c r="JU18" s="26"/>
      <c r="JV18" s="26"/>
      <c r="JW18" s="26"/>
      <c r="JX18" s="26"/>
      <c r="JY18" s="26"/>
      <c r="JZ18" s="26"/>
      <c r="KA18" s="26"/>
      <c r="KB18" s="26"/>
      <c r="KC18" s="26"/>
      <c r="KD18" s="26"/>
      <c r="KE18" s="26"/>
      <c r="KF18" s="26"/>
      <c r="KG18" s="26"/>
      <c r="KH18" s="26"/>
      <c r="KI18" s="26"/>
      <c r="KJ18" s="26"/>
      <c r="KK18" s="26"/>
      <c r="KL18" s="26"/>
      <c r="KM18" s="26"/>
      <c r="KN18" s="26"/>
      <c r="KO18" s="26"/>
      <c r="KP18" s="26"/>
      <c r="KQ18" s="26"/>
      <c r="KR18" s="26"/>
      <c r="KS18" s="26"/>
      <c r="KT18" s="26"/>
      <c r="KU18" s="26"/>
      <c r="KV18" s="26"/>
      <c r="KW18" s="26"/>
      <c r="KX18" s="26"/>
      <c r="KY18" s="26"/>
      <c r="KZ18" s="26"/>
      <c r="LA18" s="26"/>
      <c r="LB18" s="26"/>
      <c r="LC18" s="26"/>
      <c r="LD18" s="26"/>
      <c r="LE18" s="26"/>
      <c r="LF18" s="26"/>
      <c r="LG18" s="26"/>
      <c r="LH18" s="26"/>
      <c r="LI18" s="26"/>
      <c r="LJ18" s="26"/>
      <c r="LK18" s="26"/>
      <c r="LL18" s="26"/>
      <c r="LM18" s="26"/>
      <c r="LN18" s="26"/>
      <c r="LO18" s="26"/>
      <c r="LP18" s="26"/>
      <c r="LQ18" s="26"/>
      <c r="LR18" s="26"/>
      <c r="LS18" s="26"/>
      <c r="LT18" s="26"/>
      <c r="LU18" s="26"/>
      <c r="LV18" s="26"/>
      <c r="LW18" s="26"/>
      <c r="LX18" s="26"/>
      <c r="LY18" s="26"/>
      <c r="LZ18" s="26"/>
      <c r="MA18" s="26"/>
      <c r="MB18" s="26"/>
      <c r="MC18" s="26"/>
      <c r="MD18" s="26"/>
      <c r="ME18" s="26"/>
      <c r="MF18" s="26"/>
      <c r="MG18" s="26"/>
      <c r="MH18" s="26"/>
      <c r="MI18" s="26"/>
      <c r="MJ18" s="26"/>
      <c r="MK18" s="26"/>
      <c r="ML18" s="26"/>
      <c r="MM18" s="26"/>
      <c r="MN18" s="26"/>
      <c r="MO18" s="26"/>
      <c r="MP18" s="26"/>
      <c r="MQ18" s="26"/>
      <c r="MR18" s="26"/>
      <c r="MS18" s="26"/>
      <c r="MT18" s="26"/>
      <c r="MU18" s="26"/>
      <c r="MV18" s="26"/>
      <c r="MW18" s="26"/>
      <c r="MX18" s="26"/>
      <c r="MY18" s="26"/>
      <c r="MZ18" s="26"/>
      <c r="NA18" s="26"/>
      <c r="NB18" s="26"/>
      <c r="NC18" s="26"/>
      <c r="ND18" s="26"/>
      <c r="NE18" s="26"/>
      <c r="NF18" s="26"/>
      <c r="NG18" s="26"/>
      <c r="NH18" s="26"/>
      <c r="NI18" s="26"/>
      <c r="NJ18" s="26"/>
      <c r="NK18" s="26"/>
      <c r="NL18" s="26"/>
      <c r="NM18" s="26"/>
      <c r="NN18" s="26"/>
      <c r="NO18" s="26"/>
      <c r="NP18" s="26"/>
      <c r="NQ18" s="26"/>
      <c r="NR18" s="26"/>
      <c r="NS18" s="26"/>
      <c r="NT18" s="26"/>
      <c r="NU18" s="26"/>
      <c r="NV18" s="26"/>
      <c r="NW18" s="26"/>
      <c r="NX18" s="26"/>
      <c r="NY18" s="26"/>
      <c r="NZ18" s="26"/>
      <c r="OA18" s="26"/>
      <c r="OB18" s="26"/>
      <c r="OC18" s="26"/>
      <c r="OD18" s="26"/>
      <c r="OE18" s="26"/>
      <c r="OF18" s="26"/>
      <c r="OG18" s="26"/>
      <c r="OH18" s="26"/>
      <c r="OI18" s="26"/>
      <c r="OJ18" s="26"/>
      <c r="OK18" s="26"/>
      <c r="OL18" s="26"/>
      <c r="OM18" s="26"/>
      <c r="ON18" s="26"/>
      <c r="OO18" s="26"/>
      <c r="OP18" s="26"/>
      <c r="OQ18" s="26"/>
      <c r="OR18" s="26"/>
      <c r="OS18" s="26"/>
      <c r="OT18" s="26"/>
      <c r="OU18" s="26"/>
      <c r="OV18" s="26"/>
      <c r="OW18" s="26"/>
      <c r="OX18" s="26"/>
      <c r="OY18" s="26"/>
      <c r="OZ18" s="26"/>
      <c r="PA18" s="26"/>
      <c r="PB18" s="26"/>
      <c r="PC18" s="26"/>
      <c r="PD18" s="26"/>
      <c r="PE18" s="26"/>
      <c r="PF18" s="26"/>
      <c r="PG18" s="26"/>
      <c r="PH18" s="26"/>
      <c r="PI18" s="26"/>
      <c r="PJ18" s="26"/>
      <c r="PK18" s="26"/>
      <c r="PL18" s="26"/>
      <c r="PM18" s="26"/>
      <c r="PN18" s="26"/>
      <c r="PO18" s="26"/>
      <c r="PP18" s="26"/>
      <c r="PQ18" s="26"/>
      <c r="PR18" s="26"/>
      <c r="PS18" s="26"/>
      <c r="PT18" s="26"/>
      <c r="PU18" s="26"/>
      <c r="PV18" s="26"/>
      <c r="PW18" s="26"/>
      <c r="PX18" s="26"/>
      <c r="PY18" s="26"/>
      <c r="PZ18" s="26"/>
      <c r="QA18" s="26"/>
      <c r="QB18" s="26"/>
      <c r="QC18" s="26"/>
      <c r="QD18" s="26"/>
      <c r="QE18" s="26"/>
      <c r="QF18" s="26"/>
      <c r="QG18" s="26"/>
      <c r="QH18" s="26"/>
      <c r="QI18" s="26"/>
      <c r="QJ18" s="26"/>
      <c r="QK18" s="26"/>
      <c r="QL18" s="26"/>
      <c r="QM18" s="26"/>
      <c r="QN18" s="26"/>
      <c r="QO18" s="26"/>
      <c r="QP18" s="26"/>
      <c r="QQ18" s="26"/>
      <c r="QR18" s="26"/>
      <c r="QS18" s="26"/>
      <c r="QT18" s="26"/>
      <c r="QU18" s="26"/>
      <c r="QV18" s="26"/>
      <c r="QW18" s="26"/>
      <c r="QX18" s="26"/>
      <c r="QY18" s="26"/>
      <c r="QZ18" s="26"/>
      <c r="RA18" s="26"/>
      <c r="RB18" s="26"/>
      <c r="RC18" s="26"/>
      <c r="RD18" s="26"/>
      <c r="RE18" s="26"/>
      <c r="RF18" s="26"/>
      <c r="RG18" s="26"/>
      <c r="RH18" s="26"/>
      <c r="RI18" s="26"/>
      <c r="RJ18" s="26"/>
      <c r="RK18" s="26"/>
      <c r="RL18" s="26"/>
      <c r="RM18" s="26"/>
      <c r="RN18" s="26"/>
      <c r="RO18" s="26"/>
      <c r="RP18" s="26"/>
      <c r="RQ18" s="26"/>
      <c r="RR18" s="26"/>
      <c r="RS18" s="26"/>
      <c r="RT18" s="26"/>
      <c r="RU18" s="26"/>
      <c r="RV18" s="26"/>
      <c r="RW18" s="26"/>
      <c r="RX18" s="26"/>
      <c r="RY18" s="26"/>
      <c r="RZ18" s="26"/>
      <c r="SA18" s="26"/>
      <c r="SB18" s="26"/>
      <c r="SC18" s="26"/>
      <c r="SD18" s="26"/>
      <c r="SE18" s="26"/>
      <c r="SF18" s="26"/>
      <c r="SG18" s="26"/>
      <c r="SH18" s="26"/>
      <c r="SI18" s="26"/>
      <c r="SJ18" s="26"/>
      <c r="SK18" s="26"/>
      <c r="SL18" s="26"/>
      <c r="SM18" s="26"/>
      <c r="SN18" s="26"/>
      <c r="SO18" s="26"/>
      <c r="SP18" s="26"/>
      <c r="SQ18" s="26"/>
      <c r="SR18" s="26"/>
      <c r="SS18" s="26"/>
      <c r="ST18" s="26"/>
      <c r="SU18" s="26"/>
      <c r="SV18" s="26"/>
      <c r="SW18" s="26"/>
      <c r="SX18" s="26"/>
      <c r="SY18" s="26"/>
      <c r="SZ18" s="26"/>
      <c r="TA18" s="26"/>
      <c r="TB18" s="26"/>
      <c r="TC18" s="26"/>
      <c r="TD18" s="26"/>
      <c r="TE18" s="26"/>
      <c r="TF18" s="26"/>
      <c r="TG18" s="26"/>
      <c r="TH18" s="26"/>
      <c r="TI18" s="26"/>
      <c r="TJ18" s="26"/>
      <c r="TK18" s="26"/>
      <c r="TL18" s="26"/>
      <c r="TM18" s="26"/>
      <c r="TN18" s="26"/>
      <c r="TO18" s="26"/>
      <c r="TP18" s="26"/>
      <c r="TQ18" s="26"/>
      <c r="TR18" s="26"/>
      <c r="TS18" s="26"/>
      <c r="TT18" s="26"/>
      <c r="TU18" s="26"/>
      <c r="TV18" s="26"/>
      <c r="TW18" s="26"/>
      <c r="TX18" s="26"/>
      <c r="TY18" s="26"/>
      <c r="TZ18" s="26"/>
      <c r="UA18" s="26"/>
      <c r="UB18" s="26"/>
      <c r="UC18" s="26"/>
      <c r="UD18" s="26"/>
      <c r="UE18" s="26"/>
      <c r="UF18" s="26"/>
      <c r="UG18" s="26"/>
      <c r="UH18" s="26"/>
      <c r="UI18" s="26"/>
      <c r="UJ18" s="26"/>
      <c r="UK18" s="26"/>
      <c r="UL18" s="26"/>
      <c r="UM18" s="26"/>
      <c r="UN18" s="26"/>
      <c r="UO18" s="26"/>
      <c r="UP18" s="26"/>
      <c r="UQ18" s="26"/>
      <c r="UR18" s="26"/>
      <c r="US18" s="26"/>
      <c r="UT18" s="26"/>
      <c r="UU18" s="26"/>
      <c r="UV18" s="26"/>
      <c r="UW18" s="26"/>
      <c r="UX18" s="26"/>
      <c r="UY18" s="26"/>
      <c r="UZ18" s="26"/>
      <c r="VA18" s="26"/>
      <c r="VB18" s="26"/>
      <c r="VC18" s="26"/>
      <c r="VD18" s="26"/>
      <c r="VE18" s="26"/>
      <c r="VF18" s="26"/>
      <c r="VG18" s="26"/>
      <c r="VH18" s="26"/>
      <c r="VI18" s="26"/>
      <c r="VJ18" s="26"/>
      <c r="VK18" s="26"/>
      <c r="VL18" s="26"/>
      <c r="VM18" s="26"/>
      <c r="VN18" s="26"/>
      <c r="VO18" s="26"/>
      <c r="VP18" s="26"/>
      <c r="VQ18" s="26"/>
      <c r="VR18" s="26"/>
      <c r="VS18" s="26"/>
      <c r="VT18" s="26"/>
      <c r="VU18" s="26"/>
      <c r="VV18" s="26"/>
      <c r="VW18" s="26"/>
      <c r="VX18" s="26"/>
      <c r="VY18" s="26"/>
      <c r="VZ18" s="26"/>
      <c r="WA18" s="26"/>
      <c r="WB18" s="26"/>
      <c r="WC18" s="26"/>
      <c r="WD18" s="26"/>
      <c r="WE18" s="26"/>
      <c r="WF18" s="26"/>
      <c r="WG18" s="26"/>
      <c r="WH18" s="26"/>
      <c r="WI18" s="26"/>
      <c r="WJ18" s="26"/>
      <c r="WK18" s="26"/>
      <c r="WL18" s="26"/>
      <c r="WM18" s="26"/>
      <c r="WN18" s="26"/>
      <c r="WO18" s="26"/>
      <c r="WP18" s="26"/>
      <c r="WQ18" s="26"/>
      <c r="WR18" s="26"/>
      <c r="WS18" s="26"/>
      <c r="WT18" s="26"/>
      <c r="WU18" s="26"/>
      <c r="WV18" s="26"/>
      <c r="WW18" s="26"/>
      <c r="WX18" s="26"/>
      <c r="WY18" s="26"/>
      <c r="WZ18" s="26"/>
      <c r="XA18" s="26"/>
      <c r="XB18" s="26"/>
      <c r="XC18" s="26"/>
      <c r="XD18" s="26"/>
      <c r="XE18" s="26"/>
      <c r="XF18" s="26"/>
      <c r="XG18" s="26"/>
      <c r="XH18" s="26"/>
      <c r="XI18" s="26"/>
      <c r="XJ18" s="26"/>
      <c r="XK18" s="26"/>
      <c r="XL18" s="26"/>
      <c r="XM18" s="26"/>
      <c r="XN18" s="26"/>
      <c r="XO18" s="26"/>
      <c r="XP18" s="26"/>
      <c r="XQ18" s="26"/>
      <c r="XR18" s="26"/>
      <c r="XS18" s="26"/>
      <c r="XT18" s="26"/>
      <c r="XU18" s="26"/>
      <c r="XV18" s="26"/>
      <c r="XW18" s="26"/>
      <c r="XX18" s="26"/>
      <c r="XY18" s="26"/>
      <c r="XZ18" s="26"/>
      <c r="YA18" s="26"/>
      <c r="YB18" s="26"/>
      <c r="YC18" s="26"/>
      <c r="YD18" s="26"/>
      <c r="YE18" s="26"/>
      <c r="YF18" s="26"/>
      <c r="YG18" s="26"/>
      <c r="YH18" s="26"/>
      <c r="YI18" s="26"/>
      <c r="YJ18" s="26"/>
      <c r="YK18" s="26"/>
      <c r="YL18" s="26"/>
      <c r="YM18" s="26"/>
      <c r="YN18" s="26"/>
      <c r="YO18" s="26"/>
      <c r="YP18" s="26"/>
      <c r="YQ18" s="26"/>
      <c r="YR18" s="26"/>
      <c r="YS18" s="26"/>
      <c r="YT18" s="26"/>
      <c r="YU18" s="26"/>
      <c r="YV18" s="26"/>
      <c r="YW18" s="26"/>
      <c r="YX18" s="26"/>
      <c r="YY18" s="26"/>
      <c r="YZ18" s="26"/>
      <c r="ZA18" s="26"/>
      <c r="ZB18" s="26"/>
      <c r="ZC18" s="26"/>
      <c r="ZD18" s="26"/>
      <c r="ZE18" s="26"/>
      <c r="ZF18" s="26"/>
      <c r="ZG18" s="26"/>
      <c r="ZH18" s="26"/>
      <c r="ZI18" s="26"/>
      <c r="ZJ18" s="26"/>
      <c r="ZK18" s="26"/>
      <c r="ZL18" s="26"/>
      <c r="ZM18" s="26"/>
      <c r="ZN18" s="26"/>
      <c r="ZO18" s="26"/>
      <c r="ZP18" s="26"/>
      <c r="ZQ18" s="26"/>
      <c r="ZR18" s="26"/>
      <c r="ZS18" s="26"/>
      <c r="ZT18" s="26"/>
      <c r="ZU18" s="26"/>
      <c r="ZV18" s="26"/>
      <c r="ZW18" s="26"/>
      <c r="ZX18" s="26"/>
      <c r="ZY18" s="26"/>
      <c r="ZZ18" s="26"/>
      <c r="AAA18" s="26"/>
      <c r="AAB18" s="26"/>
      <c r="AAC18" s="26"/>
      <c r="AAD18" s="26"/>
      <c r="AAE18" s="26"/>
      <c r="AAF18" s="26"/>
      <c r="AAG18" s="26"/>
      <c r="AAH18" s="26"/>
      <c r="AAI18" s="26"/>
      <c r="AAJ18" s="26"/>
      <c r="AAK18" s="26"/>
      <c r="AAL18" s="26"/>
      <c r="AAM18" s="26"/>
      <c r="AAN18" s="26"/>
      <c r="AAO18" s="26"/>
      <c r="AAP18" s="26"/>
      <c r="AAQ18" s="26"/>
      <c r="AAR18" s="26"/>
      <c r="AAS18" s="26"/>
      <c r="AAT18" s="26"/>
      <c r="AAU18" s="26"/>
      <c r="AAV18" s="26"/>
      <c r="AAW18" s="26"/>
      <c r="AAX18" s="26"/>
      <c r="AAY18" s="26"/>
      <c r="AAZ18" s="26"/>
      <c r="ABA18" s="26"/>
      <c r="ABB18" s="26"/>
      <c r="ABC18" s="26"/>
      <c r="ABD18" s="26"/>
      <c r="ABE18" s="26"/>
      <c r="ABF18" s="26"/>
      <c r="ABG18" s="26"/>
      <c r="ABH18" s="26"/>
      <c r="ABI18" s="26"/>
      <c r="ABJ18" s="26"/>
      <c r="ABK18" s="26"/>
      <c r="ABL18" s="26"/>
      <c r="ABM18" s="26"/>
      <c r="ABN18" s="26"/>
      <c r="ABO18" s="26"/>
      <c r="ABP18" s="26"/>
      <c r="ABQ18" s="26"/>
      <c r="ABR18" s="26"/>
      <c r="ABS18" s="26"/>
      <c r="ABT18" s="26"/>
      <c r="ABU18" s="26"/>
      <c r="ABV18" s="26"/>
      <c r="ABW18" s="26"/>
      <c r="ABX18" s="26"/>
      <c r="ABY18" s="26"/>
      <c r="ABZ18" s="26"/>
      <c r="ACA18" s="26"/>
      <c r="ACB18" s="26"/>
      <c r="ACC18" s="26"/>
      <c r="ACD18" s="26"/>
      <c r="ACE18" s="26"/>
      <c r="ACF18" s="26"/>
      <c r="ACG18" s="26"/>
      <c r="ACH18" s="26"/>
      <c r="ACI18" s="26"/>
      <c r="ACJ18" s="26"/>
      <c r="ACK18" s="26"/>
      <c r="ACL18" s="26"/>
      <c r="ACM18" s="26"/>
      <c r="ACN18" s="26"/>
      <c r="ACO18" s="26"/>
      <c r="ACP18" s="26"/>
      <c r="ACQ18" s="26"/>
      <c r="ACR18" s="26"/>
      <c r="ACS18" s="26"/>
      <c r="ACT18" s="26"/>
      <c r="ACU18" s="26"/>
      <c r="ACV18" s="26"/>
      <c r="ACW18" s="26"/>
      <c r="ACX18" s="26"/>
      <c r="ACY18" s="26"/>
      <c r="ACZ18" s="26"/>
      <c r="ADA18" s="26"/>
      <c r="ADB18" s="26"/>
      <c r="ADC18" s="26"/>
      <c r="ADD18" s="26"/>
      <c r="ADE18" s="26"/>
      <c r="ADF18" s="26"/>
      <c r="ADG18" s="26"/>
      <c r="ADH18" s="26"/>
      <c r="ADI18" s="26"/>
      <c r="ADJ18" s="26"/>
      <c r="ADK18" s="26"/>
      <c r="ADL18" s="26"/>
      <c r="ADM18" s="26"/>
      <c r="ADN18" s="26"/>
      <c r="ADO18" s="26"/>
      <c r="ADP18" s="26"/>
      <c r="ADQ18" s="26"/>
      <c r="ADR18" s="26"/>
      <c r="ADS18" s="26"/>
      <c r="ADT18" s="26"/>
      <c r="ADU18" s="26"/>
      <c r="ADV18" s="26"/>
      <c r="ADW18" s="26"/>
      <c r="ADX18" s="26"/>
      <c r="ADY18" s="26"/>
      <c r="ADZ18" s="26"/>
      <c r="AEA18" s="26"/>
      <c r="AEB18" s="26"/>
      <c r="AEC18" s="26"/>
      <c r="AED18" s="26"/>
      <c r="AEE18" s="26"/>
      <c r="AEF18" s="26"/>
      <c r="AEG18" s="26"/>
      <c r="AEH18" s="26"/>
      <c r="AEI18" s="26"/>
      <c r="AEJ18" s="26"/>
      <c r="AEK18" s="26"/>
      <c r="AEL18" s="26"/>
      <c r="AEM18" s="26"/>
      <c r="AEN18" s="26"/>
      <c r="AEO18" s="26"/>
      <c r="AEP18" s="26"/>
      <c r="AEQ18" s="26"/>
      <c r="AER18" s="26"/>
      <c r="AES18" s="26"/>
      <c r="AET18" s="26"/>
      <c r="AEU18" s="26"/>
      <c r="AEV18" s="26"/>
      <c r="AEW18" s="26"/>
      <c r="AEX18" s="26"/>
      <c r="AEY18" s="26"/>
      <c r="AEZ18" s="26"/>
      <c r="AFA18" s="26"/>
      <c r="AFB18" s="26"/>
      <c r="AFC18" s="26"/>
      <c r="AFD18" s="26"/>
      <c r="AFE18" s="26"/>
      <c r="AFF18" s="26"/>
      <c r="AFG18" s="26"/>
      <c r="AFH18" s="26"/>
      <c r="AFI18" s="26"/>
      <c r="AFJ18" s="26"/>
      <c r="AFK18" s="26"/>
      <c r="AFL18" s="26"/>
      <c r="AFM18" s="26"/>
      <c r="AFN18" s="26"/>
      <c r="AFO18" s="26"/>
      <c r="AFP18" s="26"/>
      <c r="AFQ18" s="26"/>
      <c r="AFR18" s="26"/>
      <c r="AFS18" s="26"/>
      <c r="AFT18" s="26"/>
      <c r="AFU18" s="26"/>
      <c r="AFV18" s="26"/>
      <c r="AFW18" s="26"/>
      <c r="AFX18" s="26"/>
      <c r="AFY18" s="26"/>
      <c r="AFZ18" s="26"/>
      <c r="AGA18" s="26"/>
      <c r="AGB18" s="26"/>
      <c r="AGC18" s="26"/>
      <c r="AGD18" s="26"/>
      <c r="AGE18" s="26"/>
      <c r="AGF18" s="26"/>
      <c r="AGG18" s="26"/>
      <c r="AGH18" s="26"/>
      <c r="AGI18" s="26"/>
      <c r="AGJ18" s="26"/>
      <c r="AGK18" s="26"/>
      <c r="AGL18" s="26"/>
      <c r="AGM18" s="26"/>
      <c r="AGN18" s="26"/>
      <c r="AGO18" s="26"/>
      <c r="AGP18" s="26"/>
      <c r="AGQ18" s="26"/>
      <c r="AGR18" s="26"/>
      <c r="AGS18" s="26"/>
      <c r="AGT18" s="26"/>
      <c r="AGU18" s="26"/>
      <c r="AGV18" s="26"/>
      <c r="AGW18" s="26"/>
      <c r="AGX18" s="26"/>
      <c r="AGY18" s="26"/>
      <c r="AGZ18" s="26"/>
      <c r="AHA18" s="26"/>
      <c r="AHB18" s="26"/>
      <c r="AHC18" s="26"/>
      <c r="AHD18" s="26"/>
      <c r="AHE18" s="26"/>
      <c r="AHF18" s="26"/>
      <c r="AHG18" s="26"/>
      <c r="AHH18" s="26"/>
      <c r="AHI18" s="26"/>
      <c r="AHJ18" s="26"/>
      <c r="AHK18" s="26"/>
      <c r="AHL18" s="26"/>
      <c r="AHM18" s="26"/>
      <c r="AHN18" s="26"/>
      <c r="AHO18" s="26"/>
      <c r="AHP18" s="26"/>
      <c r="AHQ18" s="26"/>
      <c r="AHR18" s="26"/>
      <c r="AHS18" s="26"/>
      <c r="AHT18" s="26"/>
      <c r="AHU18" s="26"/>
      <c r="AHV18" s="26"/>
      <c r="AHW18" s="26"/>
      <c r="AHX18" s="26"/>
      <c r="AHY18" s="26"/>
      <c r="AHZ18" s="26"/>
      <c r="AIA18" s="26"/>
      <c r="AIB18" s="26"/>
      <c r="AIC18" s="26"/>
      <c r="AID18" s="26"/>
      <c r="AIE18" s="26"/>
      <c r="AIF18" s="26"/>
      <c r="AIG18" s="26"/>
      <c r="AIH18" s="26"/>
      <c r="AII18" s="26"/>
      <c r="AIJ18" s="26"/>
      <c r="AIK18" s="26"/>
      <c r="AIL18" s="26"/>
      <c r="AIM18" s="26"/>
      <c r="AIN18" s="26"/>
      <c r="AIO18" s="26"/>
      <c r="AIP18" s="26"/>
      <c r="AIQ18" s="26"/>
      <c r="AIR18" s="26"/>
      <c r="AIS18" s="26"/>
      <c r="AIT18" s="26"/>
      <c r="AIU18" s="26"/>
      <c r="AIV18" s="26"/>
      <c r="AIW18" s="26"/>
      <c r="AIX18" s="26"/>
      <c r="AIY18" s="26"/>
      <c r="AIZ18" s="26"/>
      <c r="AJA18" s="26"/>
      <c r="AJB18" s="26"/>
      <c r="AJC18" s="26"/>
      <c r="AJD18" s="26"/>
      <c r="AJE18" s="26"/>
      <c r="AJF18" s="26"/>
      <c r="AJG18" s="26"/>
      <c r="AJH18" s="26"/>
      <c r="AJI18" s="26"/>
      <c r="AJJ18" s="26"/>
      <c r="AJK18" s="26"/>
      <c r="AJL18" s="26"/>
      <c r="AJM18" s="26"/>
      <c r="AJN18" s="26"/>
      <c r="AJO18" s="26"/>
      <c r="AJP18" s="26"/>
      <c r="AJQ18" s="26"/>
      <c r="AJR18" s="26"/>
      <c r="AJS18" s="26"/>
      <c r="AJT18" s="26"/>
      <c r="AJU18" s="26"/>
      <c r="AJV18" s="26"/>
      <c r="AJW18" s="26"/>
      <c r="AJX18" s="26"/>
      <c r="AJY18" s="26"/>
      <c r="AJZ18" s="26"/>
      <c r="AKA18" s="26"/>
      <c r="AKB18" s="26"/>
      <c r="AKC18" s="26"/>
      <c r="AKD18" s="26"/>
      <c r="AKE18" s="26"/>
      <c r="AKF18" s="26"/>
      <c r="AKG18" s="26"/>
      <c r="AKH18" s="26"/>
      <c r="AKI18" s="26"/>
      <c r="AKJ18" s="26"/>
      <c r="AKK18" s="26"/>
      <c r="AKL18" s="26"/>
      <c r="AKM18" s="26"/>
      <c r="AKN18" s="26"/>
      <c r="AKO18" s="26"/>
      <c r="AKP18" s="26"/>
      <c r="AKQ18" s="26"/>
      <c r="AKR18" s="26"/>
      <c r="AKS18" s="26"/>
      <c r="AKT18" s="26"/>
      <c r="AKU18" s="26"/>
      <c r="AKV18" s="26"/>
      <c r="AKW18" s="26"/>
      <c r="AKX18" s="26"/>
      <c r="AKY18" s="26"/>
      <c r="AKZ18" s="26"/>
      <c r="ALA18" s="26"/>
      <c r="ALB18" s="26"/>
      <c r="ALC18" s="26"/>
      <c r="ALD18" s="26"/>
      <c r="ALE18" s="26"/>
      <c r="ALF18" s="26"/>
      <c r="ALG18" s="26"/>
      <c r="ALH18" s="26"/>
      <c r="ALI18" s="26"/>
      <c r="ALJ18" s="26"/>
      <c r="ALK18" s="26"/>
      <c r="ALL18" s="26"/>
      <c r="ALM18" s="26"/>
      <c r="ALN18" s="26"/>
      <c r="ALO18" s="26"/>
      <c r="ALP18" s="26"/>
      <c r="ALQ18" s="26"/>
      <c r="ALR18" s="26"/>
      <c r="ALS18" s="26"/>
      <c r="ALT18" s="26"/>
      <c r="ALU18" s="26"/>
      <c r="ALV18" s="26"/>
      <c r="ALW18" s="26"/>
      <c r="ALX18" s="26"/>
      <c r="ALY18" s="26"/>
      <c r="ALZ18" s="26"/>
      <c r="AMA18" s="26"/>
      <c r="AMB18" s="26"/>
      <c r="AMC18" s="26"/>
      <c r="AMD18" s="26"/>
    </row>
    <row r="19" customFormat="false" ht="15" hidden="false" customHeight="true" outlineLevel="0" collapsed="false">
      <c r="A19" s="17"/>
      <c r="B19" s="65" t="s">
        <v>133</v>
      </c>
      <c r="C19" s="278" t="n">
        <f aca="false">VLOOKUP(B19,Unidades!$D$5:$G$24,4,)</f>
        <v>0.02</v>
      </c>
      <c r="D19" s="279" t="n">
        <f aca="false">'Base Joinville'!AD10*12+'Base Joinville'!AE10*4+'Base Joinville'!AF10*2+'Base Joinville'!AG10</f>
        <v>16637.413181726</v>
      </c>
      <c r="E19" s="279" t="n">
        <f aca="false">'Base Joinville'!AK10*12+'Base Joinville'!AL10*4+'Base Joinville'!AM10*2+'Base Joinville'!AN10</f>
        <v>20335.9101320237</v>
      </c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</row>
    <row r="20" customFormat="false" ht="15" hidden="false" customHeight="true" outlineLevel="0" collapsed="false">
      <c r="A20" s="26"/>
      <c r="B20" s="65" t="s">
        <v>134</v>
      </c>
      <c r="C20" s="278" t="n">
        <f aca="false">VLOOKUP(B20,Unidades!$D$5:$G$24,4,)</f>
        <v>0.02</v>
      </c>
      <c r="D20" s="279" t="n">
        <f aca="false">'Base Joinville'!AD11*12+'Base Joinville'!AE11*4+'Base Joinville'!AF11*2+'Base Joinville'!AG11</f>
        <v>13267.6296462945</v>
      </c>
      <c r="E20" s="279" t="n">
        <f aca="false">'Base Joinville'!AK11*12+'Base Joinville'!AL11*4+'Base Joinville'!AM11*2+'Base Joinville'!AN11</f>
        <v>16217.0237166658</v>
      </c>
      <c r="F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</row>
    <row r="21" customFormat="false" ht="15" hidden="false" customHeight="true" outlineLevel="0" collapsed="false">
      <c r="A21" s="17"/>
      <c r="B21" s="65" t="s">
        <v>135</v>
      </c>
      <c r="C21" s="278" t="n">
        <f aca="false">VLOOKUP(B21,Unidades!$D$5:$G$24,4,)</f>
        <v>0.02</v>
      </c>
      <c r="D21" s="279" t="n">
        <f aca="false">'Base Joinville'!AD12*12+'Base Joinville'!AE12*4+'Base Joinville'!AF12*2+'Base Joinville'!AG12</f>
        <v>19602.228486914</v>
      </c>
      <c r="E21" s="279" t="n">
        <f aca="false">'Base Joinville'!AK12*12+'Base Joinville'!AL12*4+'Base Joinville'!AM12*2+'Base Joinville'!AN12</f>
        <v>23959.803879555</v>
      </c>
      <c r="G21" s="26"/>
      <c r="H21" s="26"/>
      <c r="I21" s="26"/>
      <c r="J21" s="26"/>
      <c r="K21" s="26"/>
      <c r="L21" s="26"/>
      <c r="M21" s="26"/>
      <c r="IO21" s="17"/>
    </row>
    <row r="22" customFormat="false" ht="15" hidden="false" customHeight="true" outlineLevel="0" collapsed="false">
      <c r="B22" s="65" t="s">
        <v>136</v>
      </c>
      <c r="C22" s="278" t="n">
        <f aca="false">VLOOKUP(B22,Unidades!$D$5:$G$24,4,)</f>
        <v>0.03</v>
      </c>
      <c r="D22" s="279" t="n">
        <f aca="false">'Base Joinville'!AD13*12+'Base Joinville'!AE13*4+'Base Joinville'!AF13*2+'Base Joinville'!AG13</f>
        <v>12718.3637262945</v>
      </c>
      <c r="E22" s="279" t="n">
        <f aca="false">'Base Joinville'!AK13*12+'Base Joinville'!AL13*4+'Base Joinville'!AM13*2+'Base Joinville'!AN13</f>
        <v>15712.2665474643</v>
      </c>
    </row>
    <row r="23" customFormat="false" ht="15" hidden="false" customHeight="true" outlineLevel="0" collapsed="false">
      <c r="B23" s="65" t="s">
        <v>137</v>
      </c>
      <c r="C23" s="278" t="n">
        <f aca="false">VLOOKUP(B23,Unidades!$D$5:$G$24,4,)</f>
        <v>0.02</v>
      </c>
      <c r="D23" s="279" t="n">
        <f aca="false">'Base Joinville'!AD14*12+'Base Joinville'!AE14*4+'Base Joinville'!AF14*2+'Base Joinville'!AG14</f>
        <v>22033.8510698752</v>
      </c>
      <c r="E23" s="279" t="n">
        <f aca="false">'Base Joinville'!AK14*12+'Base Joinville'!AL14*4+'Base Joinville'!AM14*2+'Base Joinville'!AN14</f>
        <v>26931.9761627085</v>
      </c>
    </row>
    <row r="24" customFormat="false" ht="15" hidden="false" customHeight="true" outlineLevel="0" collapsed="false">
      <c r="B24" s="65" t="s">
        <v>138</v>
      </c>
      <c r="C24" s="278" t="n">
        <f aca="false">VLOOKUP(B24,Unidades!$D$5:$G$24,4,)</f>
        <v>0.02</v>
      </c>
      <c r="D24" s="279" t="n">
        <f aca="false">'Base Joinville'!AD15*12+'Base Joinville'!AE15*4+'Base Joinville'!AF15*2+'Base Joinville'!AG15</f>
        <v>13952.23302951</v>
      </c>
      <c r="E24" s="279" t="n">
        <f aca="false">'Base Joinville'!AK15*12+'Base Joinville'!AL15*4+'Base Joinville'!AM15*2+'Base Joinville'!AN15</f>
        <v>17053.81443197</v>
      </c>
    </row>
    <row r="25" customFormat="false" ht="15" hidden="false" customHeight="false" outlineLevel="0" collapsed="false">
      <c r="B25" s="275" t="s">
        <v>97</v>
      </c>
      <c r="C25" s="275"/>
      <c r="D25" s="284" t="n">
        <f aca="false">SUM(D5:D24)</f>
        <v>306116.182733333</v>
      </c>
      <c r="E25" s="284" t="n">
        <f aca="false">SUM(E5:E24)</f>
        <v>376885.543769467</v>
      </c>
    </row>
  </sheetData>
  <mergeCells count="2">
    <mergeCell ref="B2:M2"/>
    <mergeCell ref="B25:C25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E3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5" activeCellId="0" sqref="F3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38"/>
    <col collapsed="false" customWidth="true" hidden="false" outlineLevel="0" max="4" min="3" style="17" width="14.75"/>
    <col collapsed="false" customWidth="true" hidden="false" outlineLevel="0" max="5" min="5" style="17" width="15.62"/>
    <col collapsed="false" customWidth="true" hidden="false" outlineLevel="0" max="6" min="6" style="17" width="13.76"/>
    <col collapsed="false" customWidth="true" hidden="false" outlineLevel="0" max="7" min="7" style="17" width="14.87"/>
    <col collapsed="false" customWidth="true" hidden="false" outlineLevel="0" max="8" min="8" style="17" width="14.38"/>
    <col collapsed="false" customWidth="true" hidden="false" outlineLevel="0" max="9" min="9" style="18" width="14"/>
    <col collapsed="false" customWidth="true" hidden="false" outlineLevel="0" max="10" min="10" style="17" width="14.87"/>
    <col collapsed="false" customWidth="true" hidden="false" outlineLevel="0" max="249" min="11" style="17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"PLANILHA RESUMO "&amp;'Valor da Contratação'!B7&amp;""</f>
        <v>PLANILHA RESUMO POLO IV</v>
      </c>
      <c r="C2" s="19"/>
      <c r="D2" s="19"/>
      <c r="E2" s="19"/>
      <c r="F2" s="19"/>
      <c r="G2" s="19"/>
      <c r="H2" s="19"/>
      <c r="I2" s="19"/>
      <c r="J2" s="20"/>
    </row>
    <row r="3" customFormat="false" ht="15" hidden="false" customHeight="true" outlineLevel="0" collapsed="false">
      <c r="B3" s="2"/>
      <c r="H3" s="2"/>
      <c r="I3" s="21"/>
    </row>
    <row r="4" customFormat="false" ht="46.5" hidden="false" customHeight="true" outlineLevel="0" collapsed="false">
      <c r="B4" s="22" t="s">
        <v>13</v>
      </c>
      <c r="C4" s="22" t="s">
        <v>14</v>
      </c>
      <c r="D4" s="22" t="s">
        <v>15</v>
      </c>
      <c r="E4" s="22" t="s">
        <v>16</v>
      </c>
      <c r="F4" s="22" t="s">
        <v>17</v>
      </c>
      <c r="G4" s="22" t="s">
        <v>18</v>
      </c>
      <c r="H4" s="22" t="s">
        <v>19</v>
      </c>
      <c r="I4" s="22" t="s">
        <v>20</v>
      </c>
    </row>
    <row r="5" customFormat="false" ht="19.5" hidden="false" customHeight="true" outlineLevel="0" collapsed="false">
      <c r="B5" s="23" t="s">
        <v>21</v>
      </c>
      <c r="C5" s="24" t="n">
        <f aca="false">'Base Blumenau'!C18</f>
        <v>12059.1</v>
      </c>
      <c r="D5" s="25" t="n">
        <f aca="false">'Base Blumenau'!AT10</f>
        <v>15777.6709855008</v>
      </c>
      <c r="E5" s="25" t="n">
        <f aca="false">D5*12</f>
        <v>189332.05182601</v>
      </c>
      <c r="F5" s="25" t="n">
        <f aca="false">'Base Blumenau'!AT12</f>
        <v>41595.6780526839</v>
      </c>
      <c r="G5" s="25" t="n">
        <f aca="false">F5*12</f>
        <v>499148.136632207</v>
      </c>
      <c r="H5" s="25" t="n">
        <f aca="false">D5+F5</f>
        <v>57373.3490381847</v>
      </c>
      <c r="I5" s="25" t="n">
        <f aca="false">H5*12</f>
        <v>688480.188458217</v>
      </c>
    </row>
    <row r="6" s="26" customFormat="true" ht="19.5" hidden="false" customHeight="true" outlineLevel="0" collapsed="false">
      <c r="B6" s="23" t="s">
        <v>22</v>
      </c>
      <c r="C6" s="24" t="n">
        <f aca="false">'Base Joinville'!C16</f>
        <v>10788.9</v>
      </c>
      <c r="D6" s="25" t="n">
        <f aca="false">'Base Joinville'!AT10</f>
        <v>15629.4576619548</v>
      </c>
      <c r="E6" s="25" t="n">
        <f aca="false">D6*12</f>
        <v>187553.491943458</v>
      </c>
      <c r="F6" s="25" t="n">
        <f aca="false">'Base Joinville'!AT12</f>
        <v>41204.9338360627</v>
      </c>
      <c r="G6" s="25" t="n">
        <f aca="false">F6*12</f>
        <v>494459.206032753</v>
      </c>
      <c r="H6" s="25" t="n">
        <f aca="false">D6+F6</f>
        <v>56834.3914980175</v>
      </c>
      <c r="I6" s="25" t="n">
        <f aca="false">H6*12</f>
        <v>682012.69797621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</row>
    <row r="7" s="26" customFormat="true" ht="19.5" hidden="false" customHeight="true" outlineLevel="0" collapsed="false">
      <c r="B7" s="27" t="str">
        <f aca="false">"TOTAL "&amp;'Valor da Contratação'!B7&amp;""</f>
        <v>TOTAL POLO IV</v>
      </c>
      <c r="C7" s="28" t="n">
        <f aca="false">SUM(C5:C6)</f>
        <v>22848</v>
      </c>
      <c r="D7" s="29" t="n">
        <f aca="false">SUM(D5:D6)</f>
        <v>31407.1286474556</v>
      </c>
      <c r="E7" s="29" t="n">
        <f aca="false">SUM(E5:E6)</f>
        <v>376885.543769468</v>
      </c>
      <c r="F7" s="29" t="n">
        <f aca="false">SUM(F5:F6)</f>
        <v>82800.6118887466</v>
      </c>
      <c r="G7" s="29" t="n">
        <f aca="false">SUM(G5:G6)</f>
        <v>993607.34266496</v>
      </c>
      <c r="H7" s="29" t="n">
        <f aca="false">SUM(H5:H6)</f>
        <v>114207.740536202</v>
      </c>
      <c r="I7" s="29" t="n">
        <f aca="false">SUM(I5:I6)</f>
        <v>1370492.88643443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1"/>
    </row>
    <row r="9" customFormat="false" ht="27" hidden="false" customHeight="true" outlineLevel="0" collapsed="false">
      <c r="A9" s="26"/>
      <c r="B9" s="31" t="str">
        <f aca="false">"BASE "&amp;B5</f>
        <v>BASE BLUMENAU</v>
      </c>
      <c r="C9" s="32" t="s">
        <v>23</v>
      </c>
      <c r="D9" s="32"/>
      <c r="E9" s="32"/>
      <c r="F9" s="32" t="s">
        <v>24</v>
      </c>
      <c r="G9" s="32"/>
      <c r="H9" s="32"/>
      <c r="I9" s="33" t="s">
        <v>25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34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  <c r="AME9" s="26"/>
    </row>
    <row r="10" customFormat="false" ht="22.5" hidden="false" customHeight="true" outlineLevel="0" collapsed="false">
      <c r="A10" s="26"/>
      <c r="B10" s="31"/>
      <c r="C10" s="35" t="s">
        <v>26</v>
      </c>
      <c r="D10" s="35" t="s">
        <v>27</v>
      </c>
      <c r="E10" s="35" t="s">
        <v>28</v>
      </c>
      <c r="F10" s="36" t="s">
        <v>26</v>
      </c>
      <c r="G10" s="36" t="s">
        <v>27</v>
      </c>
      <c r="H10" s="36" t="s">
        <v>28</v>
      </c>
      <c r="I10" s="36" t="s">
        <v>29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34"/>
    </row>
    <row r="11" customFormat="false" ht="16.5" hidden="false" customHeight="true" outlineLevel="0" collapsed="false">
      <c r="B11" s="23" t="str">
        <f aca="false">'Base Blumenau'!B7</f>
        <v>APS BALNEÁRIO CAMBORIÚ</v>
      </c>
      <c r="C11" s="25" t="n">
        <f aca="false">'Base Blumenau'!AO7</f>
        <v>1425.76080032344</v>
      </c>
      <c r="D11" s="25" t="n">
        <f aca="false">C11*3</f>
        <v>4277.28240097032</v>
      </c>
      <c r="E11" s="25" t="n">
        <f aca="false">C11+D11</f>
        <v>5703.04320129376</v>
      </c>
      <c r="F11" s="25" t="n">
        <f aca="false">C11*12</f>
        <v>17109.1296038813</v>
      </c>
      <c r="G11" s="25" t="n">
        <f aca="false">F11*3</f>
        <v>51327.3888116438</v>
      </c>
      <c r="H11" s="25" t="n">
        <f aca="false">F11+G11</f>
        <v>68436.5184155251</v>
      </c>
      <c r="I11" s="37" t="n">
        <f aca="false">F11/$E$7</f>
        <v>0.0453960887774102</v>
      </c>
    </row>
    <row r="12" customFormat="false" ht="16.5" hidden="false" customHeight="true" outlineLevel="0" collapsed="false">
      <c r="B12" s="23" t="str">
        <f aca="false">'Base Blumenau'!B8</f>
        <v>APS BRUSQUE</v>
      </c>
      <c r="C12" s="25" t="n">
        <f aca="false">'Base Blumenau'!AO8</f>
        <v>1753.88277699242</v>
      </c>
      <c r="D12" s="25" t="n">
        <f aca="false">C12*3</f>
        <v>5261.64833097727</v>
      </c>
      <c r="E12" s="25" t="n">
        <f aca="false">C12+D12</f>
        <v>7015.53110796969</v>
      </c>
      <c r="F12" s="25" t="n">
        <f aca="false">C12*12</f>
        <v>21046.5933239091</v>
      </c>
      <c r="G12" s="25" t="n">
        <f aca="false">F12*3</f>
        <v>63139.7799717272</v>
      </c>
      <c r="H12" s="25" t="n">
        <f aca="false">F12+G12</f>
        <v>84186.3732956363</v>
      </c>
      <c r="I12" s="37" t="n">
        <f aca="false">F12/$E$7</f>
        <v>0.0558434614217594</v>
      </c>
    </row>
    <row r="13" customFormat="false" ht="16.5" hidden="false" customHeight="true" outlineLevel="0" collapsed="false">
      <c r="B13" s="23" t="str">
        <f aca="false">'Base Blumenau'!B9</f>
        <v>APS IBIRAMA</v>
      </c>
      <c r="C13" s="25" t="n">
        <f aca="false">'Base Blumenau'!AO9</f>
        <v>1467.99955771107</v>
      </c>
      <c r="D13" s="25" t="n">
        <f aca="false">C13*3</f>
        <v>4403.99867313322</v>
      </c>
      <c r="E13" s="25" t="n">
        <f aca="false">C13+D13</f>
        <v>5871.9982308443</v>
      </c>
      <c r="F13" s="25" t="n">
        <f aca="false">C13*12</f>
        <v>17615.9946925329</v>
      </c>
      <c r="G13" s="25" t="n">
        <f aca="false">F13*3</f>
        <v>52847.9840775987</v>
      </c>
      <c r="H13" s="25" t="n">
        <f aca="false">F13+G13</f>
        <v>70463.9787701316</v>
      </c>
      <c r="I13" s="37" t="n">
        <f aca="false">F13/$E$7</f>
        <v>0.046740966810094</v>
      </c>
    </row>
    <row r="14" customFormat="false" ht="16.5" hidden="false" customHeight="true" outlineLevel="0" collapsed="false">
      <c r="B14" s="23" t="str">
        <f aca="false">'Base Blumenau'!B10</f>
        <v>APS INDAIAL</v>
      </c>
      <c r="C14" s="25" t="n">
        <f aca="false">'Base Blumenau'!AO10</f>
        <v>1140.89282719802</v>
      </c>
      <c r="D14" s="25" t="n">
        <f aca="false">C14*3</f>
        <v>3422.67848159407</v>
      </c>
      <c r="E14" s="25" t="n">
        <f aca="false">C14+D14</f>
        <v>4563.57130879209</v>
      </c>
      <c r="F14" s="25" t="n">
        <f aca="false">C14*12</f>
        <v>13690.7139263763</v>
      </c>
      <c r="G14" s="25" t="n">
        <f aca="false">F14*3</f>
        <v>41072.1417791288</v>
      </c>
      <c r="H14" s="25" t="n">
        <f aca="false">F14+G14</f>
        <v>54762.8557055051</v>
      </c>
      <c r="I14" s="37" t="n">
        <f aca="false">F14/$E$7</f>
        <v>0.036325919507145</v>
      </c>
    </row>
    <row r="15" customFormat="false" ht="16.5" hidden="false" customHeight="true" outlineLevel="0" collapsed="false">
      <c r="B15" s="23" t="str">
        <f aca="false">'Base Blumenau'!B11</f>
        <v>APS ITAJAÍ</v>
      </c>
      <c r="C15" s="25" t="n">
        <f aca="false">'Base Blumenau'!AO11</f>
        <v>1710.50120159886</v>
      </c>
      <c r="D15" s="25" t="n">
        <f aca="false">C15*3</f>
        <v>5131.50360479657</v>
      </c>
      <c r="E15" s="25" t="n">
        <f aca="false">C15+D15</f>
        <v>6842.00480639543</v>
      </c>
      <c r="F15" s="25" t="n">
        <f aca="false">C15*12</f>
        <v>20526.0144191863</v>
      </c>
      <c r="G15" s="25" t="n">
        <f aca="false">F15*3</f>
        <v>61578.0432575589</v>
      </c>
      <c r="H15" s="25" t="n">
        <f aca="false">F15+G15</f>
        <v>82104.0576767452</v>
      </c>
      <c r="I15" s="37" t="n">
        <f aca="false">F15/$E$7</f>
        <v>0.0544621961720601</v>
      </c>
    </row>
    <row r="16" customFormat="false" ht="16.5" hidden="false" customHeight="true" outlineLevel="0" collapsed="false">
      <c r="B16" s="23" t="str">
        <f aca="false">'Base Blumenau'!B12</f>
        <v>APS PENHA</v>
      </c>
      <c r="C16" s="25" t="n">
        <f aca="false">'Base Blumenau'!AO12</f>
        <v>1201.91959826429</v>
      </c>
      <c r="D16" s="25" t="n">
        <f aca="false">C16*3</f>
        <v>3605.75879479287</v>
      </c>
      <c r="E16" s="25" t="n">
        <f aca="false">C16+D16</f>
        <v>4807.67839305716</v>
      </c>
      <c r="F16" s="25" t="n">
        <f aca="false">C16*12</f>
        <v>14423.0351791715</v>
      </c>
      <c r="G16" s="25" t="n">
        <f aca="false">F16*3</f>
        <v>43269.1055375144</v>
      </c>
      <c r="H16" s="25" t="n">
        <f aca="false">F16+G16</f>
        <v>57692.1407166859</v>
      </c>
      <c r="I16" s="37" t="n">
        <f aca="false">F16/$E$7</f>
        <v>0.038269006115007</v>
      </c>
    </row>
    <row r="17" customFormat="false" ht="16.5" hidden="false" customHeight="true" outlineLevel="0" collapsed="false">
      <c r="B17" s="23" t="str">
        <f aca="false">'Base Blumenau'!B13</f>
        <v>APS POMERODE</v>
      </c>
      <c r="C17" s="25" t="n">
        <f aca="false">'Base Blumenau'!AO13</f>
        <v>1226.33969303148</v>
      </c>
      <c r="D17" s="25" t="n">
        <f aca="false">C17*3</f>
        <v>3679.01907909445</v>
      </c>
      <c r="E17" s="25" t="n">
        <f aca="false">C17+D17</f>
        <v>4905.35877212594</v>
      </c>
      <c r="F17" s="25" t="n">
        <f aca="false">C17*12</f>
        <v>14716.0763163778</v>
      </c>
      <c r="G17" s="25" t="n">
        <f aca="false">F17*3</f>
        <v>44148.2289491334</v>
      </c>
      <c r="H17" s="25" t="n">
        <f aca="false">F17+G17</f>
        <v>58864.3052655112</v>
      </c>
      <c r="I17" s="37" t="n">
        <f aca="false">F17/$E$7</f>
        <v>0.0390465396183498</v>
      </c>
    </row>
    <row r="18" customFormat="false" ht="16.5" hidden="false" customHeight="true" outlineLevel="0" collapsed="false">
      <c r="B18" s="23" t="str">
        <f aca="false">'Base Blumenau'!B14</f>
        <v>APS RIO DO SUL</v>
      </c>
      <c r="C18" s="25" t="n">
        <f aca="false">'Base Blumenau'!AO14</f>
        <v>1782.75210835052</v>
      </c>
      <c r="D18" s="25" t="n">
        <f aca="false">C18*3</f>
        <v>5348.25632505157</v>
      </c>
      <c r="E18" s="25" t="n">
        <f aca="false">C18+D18</f>
        <v>7131.0084334021</v>
      </c>
      <c r="F18" s="25" t="n">
        <f aca="false">C18*12</f>
        <v>21393.0253002063</v>
      </c>
      <c r="G18" s="25" t="n">
        <f aca="false">F18*3</f>
        <v>64179.0759006189</v>
      </c>
      <c r="H18" s="25" t="n">
        <f aca="false">F18+G18</f>
        <v>85572.1012008252</v>
      </c>
      <c r="I18" s="37" t="n">
        <f aca="false">F18/$E$7</f>
        <v>0.0567626581965477</v>
      </c>
    </row>
    <row r="19" customFormat="false" ht="16.5" hidden="false" customHeight="true" outlineLevel="0" collapsed="false">
      <c r="B19" s="23" t="str">
        <f aca="false">'Base Blumenau'!B15</f>
        <v>APS TIMBÓ</v>
      </c>
      <c r="C19" s="25" t="n">
        <f aca="false">'Base Blumenau'!AO15</f>
        <v>1355.21037747516</v>
      </c>
      <c r="D19" s="25" t="n">
        <f aca="false">C19*3</f>
        <v>4065.63113242549</v>
      </c>
      <c r="E19" s="25" t="n">
        <f aca="false">C19+D19</f>
        <v>5420.84150990065</v>
      </c>
      <c r="F19" s="25" t="n">
        <f aca="false">C19*12</f>
        <v>16262.524529702</v>
      </c>
      <c r="G19" s="25" t="n">
        <f aca="false">F19*3</f>
        <v>48787.5735891059</v>
      </c>
      <c r="H19" s="25" t="n">
        <f aca="false">F19+G19</f>
        <v>65050.0981188078</v>
      </c>
      <c r="I19" s="37" t="n">
        <f aca="false">F19/$E$7</f>
        <v>0.043149769999269</v>
      </c>
    </row>
    <row r="20" customFormat="false" ht="16.5" hidden="false" customHeight="true" outlineLevel="0" collapsed="false">
      <c r="B20" s="23" t="str">
        <f aca="false">'Base Blumenau'!B16</f>
        <v>CEDOCPREV BLUMENAU</v>
      </c>
      <c r="C20" s="25" t="n">
        <f aca="false">'Base Blumenau'!AO16</f>
        <v>1073.13414624618</v>
      </c>
      <c r="D20" s="25" t="n">
        <f aca="false">C20*3</f>
        <v>3219.40243873855</v>
      </c>
      <c r="E20" s="25" t="n">
        <f aca="false">C20+D20</f>
        <v>4292.53658498474</v>
      </c>
      <c r="F20" s="25" t="n">
        <f aca="false">C20*12</f>
        <v>12877.6097549542</v>
      </c>
      <c r="G20" s="25" t="n">
        <f aca="false">F20*3</f>
        <v>38632.8292648627</v>
      </c>
      <c r="H20" s="25" t="n">
        <f aca="false">F20+G20</f>
        <v>51510.4390198169</v>
      </c>
      <c r="I20" s="37" t="n">
        <f aca="false">F20/$E$7</f>
        <v>0.0341684895264414</v>
      </c>
    </row>
    <row r="21" customFormat="false" ht="16.5" hidden="false" customHeight="true" outlineLevel="0" collapsed="false">
      <c r="B21" s="23" t="str">
        <f aca="false">'Base Blumenau'!B17</f>
        <v>GEX/APS BLUMENAU</v>
      </c>
      <c r="C21" s="25" t="n">
        <f aca="false">'Base Blumenau'!AO17</f>
        <v>1639.27789830934</v>
      </c>
      <c r="D21" s="25" t="n">
        <f aca="false">C21*3</f>
        <v>4917.83369492801</v>
      </c>
      <c r="E21" s="25" t="n">
        <f aca="false">C21+D21</f>
        <v>6557.11159323735</v>
      </c>
      <c r="F21" s="25" t="n">
        <f aca="false">C21*12</f>
        <v>19671.3347797121</v>
      </c>
      <c r="G21" s="25" t="n">
        <f aca="false">F21*3</f>
        <v>59014.0043391362</v>
      </c>
      <c r="H21" s="25" t="n">
        <f aca="false">F21+G21</f>
        <v>78685.3391188482</v>
      </c>
      <c r="I21" s="37" t="n">
        <f aca="false">F21/$E$7</f>
        <v>0.0521944529444318</v>
      </c>
    </row>
    <row r="22" customFormat="false" ht="22.5" hidden="false" customHeight="true" outlineLevel="0" collapsed="false">
      <c r="B22" s="38" t="str">
        <f aca="false">"Total Base "&amp;B5</f>
        <v>Total Base BLUMENAU</v>
      </c>
      <c r="C22" s="38" t="n">
        <f aca="false">SUM(C11:C21)</f>
        <v>15777.6709855008</v>
      </c>
      <c r="D22" s="38" t="n">
        <f aca="false">SUM(D11:D21)</f>
        <v>47333.0129565024</v>
      </c>
      <c r="E22" s="38" t="n">
        <f aca="false">SUM(E11:E21)</f>
        <v>63110.6839420032</v>
      </c>
      <c r="F22" s="38" t="n">
        <f aca="false">SUM(F11:F21)</f>
        <v>189332.05182601</v>
      </c>
      <c r="G22" s="38" t="n">
        <f aca="false">SUM(G11:G21)</f>
        <v>567996.155478029</v>
      </c>
      <c r="H22" s="38" t="n">
        <f aca="false">SUM(H11:H21)</f>
        <v>757328.207304039</v>
      </c>
      <c r="I22" s="39" t="n">
        <f aca="false">SUM(I11:I21)</f>
        <v>0.502359549088515</v>
      </c>
      <c r="IQ22" s="26"/>
      <c r="IR22" s="26"/>
      <c r="IS22" s="26"/>
      <c r="IT22" s="26"/>
      <c r="IU22" s="26"/>
      <c r="IV22" s="26"/>
      <c r="IW22" s="26"/>
      <c r="IX22" s="26"/>
      <c r="IY22" s="26"/>
      <c r="IZ22" s="26"/>
      <c r="JA22" s="26"/>
      <c r="JB22" s="26"/>
      <c r="JC22" s="26"/>
      <c r="JD22" s="26"/>
      <c r="JE22" s="26"/>
      <c r="JF22" s="26"/>
      <c r="JG22" s="26"/>
      <c r="JH22" s="26"/>
      <c r="JI22" s="26"/>
      <c r="JJ22" s="26"/>
      <c r="JK22" s="26"/>
      <c r="JL22" s="26"/>
      <c r="JM22" s="26"/>
      <c r="JN22" s="26"/>
      <c r="JO22" s="26"/>
      <c r="JP22" s="26"/>
      <c r="JQ22" s="26"/>
      <c r="JR22" s="26"/>
      <c r="JS22" s="26"/>
      <c r="JT22" s="26"/>
      <c r="JU22" s="26"/>
      <c r="JV22" s="26"/>
      <c r="JW22" s="26"/>
      <c r="JX22" s="26"/>
      <c r="JY22" s="26"/>
      <c r="JZ22" s="26"/>
      <c r="KA22" s="26"/>
      <c r="KB22" s="26"/>
      <c r="KC22" s="26"/>
      <c r="KD22" s="26"/>
      <c r="KE22" s="26"/>
      <c r="KF22" s="26"/>
      <c r="KG22" s="26"/>
      <c r="KH22" s="26"/>
      <c r="KI22" s="26"/>
      <c r="KJ22" s="26"/>
      <c r="KK22" s="26"/>
      <c r="KL22" s="26"/>
      <c r="KM22" s="26"/>
      <c r="KN22" s="26"/>
      <c r="KO22" s="26"/>
      <c r="KP22" s="26"/>
      <c r="KQ22" s="26"/>
      <c r="KR22" s="26"/>
      <c r="KS22" s="26"/>
      <c r="KT22" s="26"/>
      <c r="KU22" s="26"/>
      <c r="KV22" s="26"/>
      <c r="KW22" s="26"/>
      <c r="KX22" s="26"/>
      <c r="KY22" s="26"/>
      <c r="KZ22" s="26"/>
      <c r="LA22" s="26"/>
      <c r="LB22" s="26"/>
      <c r="LC22" s="26"/>
      <c r="LD22" s="26"/>
      <c r="LE22" s="26"/>
      <c r="LF22" s="26"/>
      <c r="LG22" s="26"/>
      <c r="LH22" s="26"/>
      <c r="LI22" s="26"/>
      <c r="LJ22" s="26"/>
      <c r="LK22" s="26"/>
      <c r="LL22" s="26"/>
      <c r="LM22" s="26"/>
      <c r="LN22" s="26"/>
      <c r="LO22" s="26"/>
      <c r="LP22" s="26"/>
      <c r="LQ22" s="26"/>
      <c r="LR22" s="26"/>
      <c r="LS22" s="26"/>
      <c r="LT22" s="26"/>
      <c r="LU22" s="26"/>
      <c r="LV22" s="26"/>
      <c r="LW22" s="26"/>
      <c r="LX22" s="26"/>
      <c r="LY22" s="26"/>
      <c r="LZ22" s="26"/>
      <c r="MA22" s="26"/>
      <c r="MB22" s="26"/>
      <c r="MC22" s="26"/>
      <c r="MD22" s="26"/>
      <c r="ME22" s="26"/>
      <c r="MF22" s="26"/>
      <c r="MG22" s="26"/>
      <c r="MH22" s="26"/>
      <c r="MI22" s="26"/>
      <c r="MJ22" s="26"/>
      <c r="MK22" s="26"/>
      <c r="ML22" s="26"/>
      <c r="MM22" s="26"/>
      <c r="MN22" s="26"/>
      <c r="MO22" s="26"/>
      <c r="MP22" s="26"/>
      <c r="MQ22" s="26"/>
      <c r="MR22" s="26"/>
      <c r="MS22" s="26"/>
      <c r="MT22" s="26"/>
      <c r="MU22" s="26"/>
      <c r="MV22" s="26"/>
      <c r="MW22" s="26"/>
      <c r="MX22" s="26"/>
      <c r="MY22" s="26"/>
      <c r="MZ22" s="26"/>
      <c r="NA22" s="26"/>
      <c r="NB22" s="26"/>
      <c r="NC22" s="26"/>
      <c r="ND22" s="26"/>
      <c r="NE22" s="26"/>
      <c r="NF22" s="26"/>
      <c r="NG22" s="26"/>
      <c r="NH22" s="26"/>
      <c r="NI22" s="26"/>
      <c r="NJ22" s="26"/>
      <c r="NK22" s="26"/>
      <c r="NL22" s="26"/>
      <c r="NM22" s="26"/>
      <c r="NN22" s="26"/>
      <c r="NO22" s="26"/>
      <c r="NP22" s="26"/>
      <c r="NQ22" s="26"/>
      <c r="NR22" s="26"/>
      <c r="NS22" s="26"/>
      <c r="NT22" s="26"/>
      <c r="NU22" s="26"/>
      <c r="NV22" s="26"/>
      <c r="NW22" s="26"/>
      <c r="NX22" s="26"/>
      <c r="NY22" s="26"/>
      <c r="NZ22" s="26"/>
      <c r="OA22" s="26"/>
      <c r="OB22" s="26"/>
      <c r="OC22" s="26"/>
      <c r="OD22" s="26"/>
      <c r="OE22" s="26"/>
      <c r="OF22" s="26"/>
      <c r="OG22" s="26"/>
      <c r="OH22" s="26"/>
      <c r="OI22" s="26"/>
      <c r="OJ22" s="26"/>
      <c r="OK22" s="26"/>
      <c r="OL22" s="26"/>
      <c r="OM22" s="26"/>
      <c r="ON22" s="26"/>
      <c r="OO22" s="26"/>
      <c r="OP22" s="26"/>
      <c r="OQ22" s="26"/>
      <c r="OR22" s="26"/>
      <c r="OS22" s="26"/>
      <c r="OT22" s="26"/>
      <c r="OU22" s="26"/>
      <c r="OV22" s="26"/>
      <c r="OW22" s="26"/>
      <c r="OX22" s="26"/>
      <c r="OY22" s="26"/>
      <c r="OZ22" s="26"/>
      <c r="PA22" s="26"/>
      <c r="PB22" s="26"/>
      <c r="PC22" s="26"/>
      <c r="PD22" s="26"/>
      <c r="PE22" s="26"/>
      <c r="PF22" s="26"/>
      <c r="PG22" s="26"/>
      <c r="PH22" s="26"/>
      <c r="PI22" s="26"/>
      <c r="PJ22" s="26"/>
      <c r="PK22" s="26"/>
      <c r="PL22" s="26"/>
      <c r="PM22" s="26"/>
      <c r="PN22" s="26"/>
      <c r="PO22" s="26"/>
      <c r="PP22" s="26"/>
      <c r="PQ22" s="26"/>
      <c r="PR22" s="26"/>
      <c r="PS22" s="26"/>
      <c r="PT22" s="26"/>
      <c r="PU22" s="26"/>
      <c r="PV22" s="26"/>
      <c r="PW22" s="26"/>
      <c r="PX22" s="26"/>
      <c r="PY22" s="26"/>
      <c r="PZ22" s="26"/>
      <c r="QA22" s="26"/>
      <c r="QB22" s="26"/>
      <c r="QC22" s="26"/>
      <c r="QD22" s="26"/>
      <c r="QE22" s="26"/>
      <c r="QF22" s="26"/>
      <c r="QG22" s="26"/>
      <c r="QH22" s="26"/>
      <c r="QI22" s="26"/>
      <c r="QJ22" s="26"/>
      <c r="QK22" s="26"/>
      <c r="QL22" s="26"/>
      <c r="QM22" s="26"/>
      <c r="QN22" s="26"/>
      <c r="QO22" s="26"/>
      <c r="QP22" s="26"/>
      <c r="QQ22" s="26"/>
      <c r="QR22" s="26"/>
      <c r="QS22" s="26"/>
      <c r="QT22" s="26"/>
      <c r="QU22" s="26"/>
      <c r="QV22" s="26"/>
      <c r="QW22" s="26"/>
      <c r="QX22" s="26"/>
      <c r="QY22" s="26"/>
      <c r="QZ22" s="26"/>
      <c r="RA22" s="26"/>
      <c r="RB22" s="26"/>
      <c r="RC22" s="26"/>
      <c r="RD22" s="26"/>
      <c r="RE22" s="26"/>
      <c r="RF22" s="26"/>
      <c r="RG22" s="26"/>
      <c r="RH22" s="26"/>
      <c r="RI22" s="26"/>
      <c r="RJ22" s="26"/>
      <c r="RK22" s="26"/>
      <c r="RL22" s="26"/>
      <c r="RM22" s="26"/>
      <c r="RN22" s="26"/>
      <c r="RO22" s="26"/>
      <c r="RP22" s="26"/>
      <c r="RQ22" s="26"/>
      <c r="RR22" s="26"/>
      <c r="RS22" s="26"/>
      <c r="RT22" s="26"/>
      <c r="RU22" s="26"/>
      <c r="RV22" s="26"/>
      <c r="RW22" s="26"/>
      <c r="RX22" s="26"/>
      <c r="RY22" s="26"/>
      <c r="RZ22" s="26"/>
      <c r="SA22" s="26"/>
      <c r="SB22" s="26"/>
      <c r="SC22" s="26"/>
      <c r="SD22" s="26"/>
      <c r="SE22" s="26"/>
      <c r="SF22" s="26"/>
      <c r="SG22" s="26"/>
      <c r="SH22" s="26"/>
      <c r="SI22" s="26"/>
      <c r="SJ22" s="26"/>
      <c r="SK22" s="26"/>
      <c r="SL22" s="26"/>
      <c r="SM22" s="26"/>
      <c r="SN22" s="26"/>
      <c r="SO22" s="26"/>
      <c r="SP22" s="26"/>
      <c r="SQ22" s="26"/>
      <c r="SR22" s="26"/>
      <c r="SS22" s="26"/>
      <c r="ST22" s="26"/>
      <c r="SU22" s="26"/>
      <c r="SV22" s="26"/>
      <c r="SW22" s="26"/>
      <c r="SX22" s="26"/>
      <c r="SY22" s="26"/>
      <c r="SZ22" s="26"/>
      <c r="TA22" s="26"/>
      <c r="TB22" s="26"/>
      <c r="TC22" s="26"/>
      <c r="TD22" s="26"/>
      <c r="TE22" s="26"/>
      <c r="TF22" s="26"/>
      <c r="TG22" s="26"/>
      <c r="TH22" s="26"/>
      <c r="TI22" s="26"/>
      <c r="TJ22" s="26"/>
      <c r="TK22" s="26"/>
      <c r="TL22" s="26"/>
      <c r="TM22" s="26"/>
      <c r="TN22" s="26"/>
      <c r="TO22" s="26"/>
      <c r="TP22" s="26"/>
      <c r="TQ22" s="26"/>
      <c r="TR22" s="26"/>
      <c r="TS22" s="26"/>
      <c r="TT22" s="26"/>
      <c r="TU22" s="26"/>
      <c r="TV22" s="26"/>
      <c r="TW22" s="26"/>
      <c r="TX22" s="26"/>
      <c r="TY22" s="26"/>
      <c r="TZ22" s="26"/>
      <c r="UA22" s="26"/>
      <c r="UB22" s="26"/>
      <c r="UC22" s="26"/>
      <c r="UD22" s="26"/>
      <c r="UE22" s="26"/>
      <c r="UF22" s="26"/>
      <c r="UG22" s="26"/>
      <c r="UH22" s="26"/>
      <c r="UI22" s="26"/>
      <c r="UJ22" s="26"/>
      <c r="UK22" s="26"/>
      <c r="UL22" s="26"/>
      <c r="UM22" s="26"/>
      <c r="UN22" s="26"/>
      <c r="UO22" s="26"/>
      <c r="UP22" s="26"/>
      <c r="UQ22" s="26"/>
      <c r="UR22" s="26"/>
      <c r="US22" s="26"/>
      <c r="UT22" s="26"/>
      <c r="UU22" s="26"/>
      <c r="UV22" s="26"/>
      <c r="UW22" s="26"/>
      <c r="UX22" s="26"/>
      <c r="UY22" s="26"/>
      <c r="UZ22" s="26"/>
      <c r="VA22" s="26"/>
      <c r="VB22" s="26"/>
      <c r="VC22" s="26"/>
      <c r="VD22" s="26"/>
      <c r="VE22" s="26"/>
      <c r="VF22" s="26"/>
      <c r="VG22" s="26"/>
      <c r="VH22" s="26"/>
      <c r="VI22" s="26"/>
      <c r="VJ22" s="26"/>
      <c r="VK22" s="26"/>
      <c r="VL22" s="26"/>
      <c r="VM22" s="26"/>
      <c r="VN22" s="26"/>
      <c r="VO22" s="26"/>
      <c r="VP22" s="26"/>
      <c r="VQ22" s="26"/>
      <c r="VR22" s="26"/>
      <c r="VS22" s="26"/>
      <c r="VT22" s="26"/>
      <c r="VU22" s="26"/>
      <c r="VV22" s="26"/>
      <c r="VW22" s="26"/>
      <c r="VX22" s="26"/>
      <c r="VY22" s="26"/>
      <c r="VZ22" s="26"/>
      <c r="WA22" s="26"/>
      <c r="WB22" s="26"/>
      <c r="WC22" s="26"/>
      <c r="WD22" s="26"/>
      <c r="WE22" s="26"/>
      <c r="WF22" s="26"/>
      <c r="WG22" s="26"/>
      <c r="WH22" s="26"/>
      <c r="WI22" s="26"/>
      <c r="WJ22" s="26"/>
      <c r="WK22" s="26"/>
      <c r="WL22" s="26"/>
      <c r="WM22" s="26"/>
      <c r="WN22" s="26"/>
      <c r="WO22" s="26"/>
      <c r="WP22" s="26"/>
      <c r="WQ22" s="26"/>
      <c r="WR22" s="26"/>
      <c r="WS22" s="26"/>
      <c r="WT22" s="26"/>
      <c r="WU22" s="26"/>
      <c r="WV22" s="26"/>
      <c r="WW22" s="26"/>
      <c r="WX22" s="26"/>
      <c r="WY22" s="26"/>
      <c r="WZ22" s="26"/>
      <c r="XA22" s="26"/>
      <c r="XB22" s="26"/>
      <c r="XC22" s="26"/>
      <c r="XD22" s="26"/>
      <c r="XE22" s="26"/>
      <c r="XF22" s="26"/>
      <c r="XG22" s="26"/>
      <c r="XH22" s="26"/>
      <c r="XI22" s="26"/>
      <c r="XJ22" s="26"/>
      <c r="XK22" s="26"/>
      <c r="XL22" s="26"/>
      <c r="XM22" s="26"/>
      <c r="XN22" s="26"/>
      <c r="XO22" s="26"/>
      <c r="XP22" s="26"/>
      <c r="XQ22" s="26"/>
      <c r="XR22" s="26"/>
      <c r="XS22" s="26"/>
      <c r="XT22" s="26"/>
      <c r="XU22" s="26"/>
      <c r="XV22" s="26"/>
      <c r="XW22" s="26"/>
      <c r="XX22" s="26"/>
      <c r="XY22" s="26"/>
      <c r="XZ22" s="26"/>
      <c r="YA22" s="26"/>
      <c r="YB22" s="26"/>
      <c r="YC22" s="26"/>
      <c r="YD22" s="26"/>
      <c r="YE22" s="26"/>
      <c r="YF22" s="26"/>
      <c r="YG22" s="26"/>
      <c r="YH22" s="26"/>
      <c r="YI22" s="26"/>
      <c r="YJ22" s="26"/>
      <c r="YK22" s="26"/>
      <c r="YL22" s="26"/>
      <c r="YM22" s="26"/>
      <c r="YN22" s="26"/>
      <c r="YO22" s="26"/>
      <c r="YP22" s="26"/>
      <c r="YQ22" s="26"/>
      <c r="YR22" s="26"/>
      <c r="YS22" s="26"/>
      <c r="YT22" s="26"/>
      <c r="YU22" s="26"/>
      <c r="YV22" s="26"/>
      <c r="YW22" s="26"/>
      <c r="YX22" s="26"/>
      <c r="YY22" s="26"/>
      <c r="YZ22" s="26"/>
      <c r="ZA22" s="26"/>
      <c r="ZB22" s="26"/>
      <c r="ZC22" s="26"/>
      <c r="ZD22" s="26"/>
      <c r="ZE22" s="26"/>
      <c r="ZF22" s="26"/>
      <c r="ZG22" s="26"/>
      <c r="ZH22" s="26"/>
      <c r="ZI22" s="26"/>
      <c r="ZJ22" s="26"/>
      <c r="ZK22" s="26"/>
      <c r="ZL22" s="26"/>
      <c r="ZM22" s="26"/>
      <c r="ZN22" s="26"/>
      <c r="ZO22" s="26"/>
      <c r="ZP22" s="26"/>
      <c r="ZQ22" s="26"/>
      <c r="ZR22" s="26"/>
      <c r="ZS22" s="26"/>
      <c r="ZT22" s="26"/>
      <c r="ZU22" s="26"/>
      <c r="ZV22" s="26"/>
      <c r="ZW22" s="26"/>
      <c r="ZX22" s="26"/>
      <c r="ZY22" s="26"/>
      <c r="ZZ22" s="26"/>
      <c r="AAA22" s="26"/>
      <c r="AAB22" s="26"/>
      <c r="AAC22" s="26"/>
      <c r="AAD22" s="26"/>
      <c r="AAE22" s="26"/>
      <c r="AAF22" s="26"/>
      <c r="AAG22" s="26"/>
      <c r="AAH22" s="26"/>
      <c r="AAI22" s="26"/>
      <c r="AAJ22" s="26"/>
      <c r="AAK22" s="26"/>
      <c r="AAL22" s="26"/>
      <c r="AAM22" s="26"/>
      <c r="AAN22" s="26"/>
      <c r="AAO22" s="26"/>
      <c r="AAP22" s="26"/>
      <c r="AAQ22" s="26"/>
      <c r="AAR22" s="26"/>
      <c r="AAS22" s="26"/>
      <c r="AAT22" s="26"/>
      <c r="AAU22" s="26"/>
      <c r="AAV22" s="26"/>
      <c r="AAW22" s="26"/>
      <c r="AAX22" s="26"/>
      <c r="AAY22" s="26"/>
      <c r="AAZ22" s="26"/>
      <c r="ABA22" s="26"/>
      <c r="ABB22" s="26"/>
      <c r="ABC22" s="26"/>
      <c r="ABD22" s="26"/>
      <c r="ABE22" s="26"/>
      <c r="ABF22" s="26"/>
      <c r="ABG22" s="26"/>
      <c r="ABH22" s="26"/>
      <c r="ABI22" s="26"/>
      <c r="ABJ22" s="26"/>
      <c r="ABK22" s="26"/>
      <c r="ABL22" s="26"/>
      <c r="ABM22" s="26"/>
      <c r="ABN22" s="26"/>
      <c r="ABO22" s="26"/>
      <c r="ABP22" s="26"/>
      <c r="ABQ22" s="26"/>
      <c r="ABR22" s="26"/>
      <c r="ABS22" s="26"/>
      <c r="ABT22" s="26"/>
      <c r="ABU22" s="26"/>
      <c r="ABV22" s="26"/>
      <c r="ABW22" s="26"/>
      <c r="ABX22" s="26"/>
      <c r="ABY22" s="26"/>
      <c r="ABZ22" s="26"/>
      <c r="ACA22" s="26"/>
      <c r="ACB22" s="26"/>
      <c r="ACC22" s="26"/>
      <c r="ACD22" s="26"/>
      <c r="ACE22" s="26"/>
      <c r="ACF22" s="26"/>
      <c r="ACG22" s="26"/>
      <c r="ACH22" s="26"/>
      <c r="ACI22" s="26"/>
      <c r="ACJ22" s="26"/>
      <c r="ACK22" s="26"/>
      <c r="ACL22" s="26"/>
      <c r="ACM22" s="26"/>
      <c r="ACN22" s="26"/>
      <c r="ACO22" s="26"/>
      <c r="ACP22" s="26"/>
      <c r="ACQ22" s="26"/>
      <c r="ACR22" s="26"/>
      <c r="ACS22" s="26"/>
      <c r="ACT22" s="26"/>
      <c r="ACU22" s="26"/>
      <c r="ACV22" s="26"/>
      <c r="ACW22" s="26"/>
      <c r="ACX22" s="26"/>
      <c r="ACY22" s="26"/>
      <c r="ACZ22" s="26"/>
      <c r="ADA22" s="26"/>
      <c r="ADB22" s="26"/>
      <c r="ADC22" s="26"/>
      <c r="ADD22" s="26"/>
      <c r="ADE22" s="26"/>
      <c r="ADF22" s="26"/>
      <c r="ADG22" s="26"/>
      <c r="ADH22" s="26"/>
      <c r="ADI22" s="26"/>
      <c r="ADJ22" s="26"/>
      <c r="ADK22" s="26"/>
      <c r="ADL22" s="26"/>
      <c r="ADM22" s="26"/>
      <c r="ADN22" s="26"/>
      <c r="ADO22" s="26"/>
      <c r="ADP22" s="26"/>
      <c r="ADQ22" s="26"/>
      <c r="ADR22" s="26"/>
      <c r="ADS22" s="26"/>
      <c r="ADT22" s="26"/>
      <c r="ADU22" s="26"/>
      <c r="ADV22" s="26"/>
      <c r="ADW22" s="26"/>
      <c r="ADX22" s="26"/>
      <c r="ADY22" s="26"/>
      <c r="ADZ22" s="26"/>
      <c r="AEA22" s="26"/>
      <c r="AEB22" s="26"/>
      <c r="AEC22" s="26"/>
      <c r="AED22" s="26"/>
      <c r="AEE22" s="26"/>
      <c r="AEF22" s="26"/>
      <c r="AEG22" s="26"/>
      <c r="AEH22" s="26"/>
      <c r="AEI22" s="26"/>
      <c r="AEJ22" s="26"/>
      <c r="AEK22" s="26"/>
      <c r="AEL22" s="26"/>
      <c r="AEM22" s="26"/>
      <c r="AEN22" s="26"/>
      <c r="AEO22" s="26"/>
      <c r="AEP22" s="26"/>
      <c r="AEQ22" s="26"/>
      <c r="AER22" s="26"/>
      <c r="AES22" s="26"/>
      <c r="AET22" s="26"/>
      <c r="AEU22" s="26"/>
      <c r="AEV22" s="26"/>
      <c r="AEW22" s="26"/>
      <c r="AEX22" s="26"/>
      <c r="AEY22" s="26"/>
      <c r="AEZ22" s="26"/>
      <c r="AFA22" s="26"/>
      <c r="AFB22" s="26"/>
      <c r="AFC22" s="26"/>
      <c r="AFD22" s="26"/>
      <c r="AFE22" s="26"/>
      <c r="AFF22" s="26"/>
      <c r="AFG22" s="26"/>
      <c r="AFH22" s="26"/>
      <c r="AFI22" s="26"/>
      <c r="AFJ22" s="26"/>
      <c r="AFK22" s="26"/>
      <c r="AFL22" s="26"/>
      <c r="AFM22" s="26"/>
      <c r="AFN22" s="26"/>
      <c r="AFO22" s="26"/>
      <c r="AFP22" s="26"/>
      <c r="AFQ22" s="26"/>
      <c r="AFR22" s="26"/>
      <c r="AFS22" s="26"/>
      <c r="AFT22" s="26"/>
      <c r="AFU22" s="26"/>
      <c r="AFV22" s="26"/>
      <c r="AFW22" s="26"/>
      <c r="AFX22" s="26"/>
      <c r="AFY22" s="26"/>
      <c r="AFZ22" s="26"/>
      <c r="AGA22" s="26"/>
      <c r="AGB22" s="26"/>
      <c r="AGC22" s="26"/>
      <c r="AGD22" s="26"/>
      <c r="AGE22" s="26"/>
      <c r="AGF22" s="26"/>
      <c r="AGG22" s="26"/>
      <c r="AGH22" s="26"/>
      <c r="AGI22" s="26"/>
      <c r="AGJ22" s="26"/>
      <c r="AGK22" s="26"/>
      <c r="AGL22" s="26"/>
      <c r="AGM22" s="26"/>
      <c r="AGN22" s="26"/>
      <c r="AGO22" s="26"/>
      <c r="AGP22" s="26"/>
      <c r="AGQ22" s="26"/>
      <c r="AGR22" s="26"/>
      <c r="AGS22" s="26"/>
      <c r="AGT22" s="26"/>
      <c r="AGU22" s="26"/>
      <c r="AGV22" s="26"/>
      <c r="AGW22" s="26"/>
      <c r="AGX22" s="26"/>
      <c r="AGY22" s="26"/>
      <c r="AGZ22" s="26"/>
      <c r="AHA22" s="26"/>
      <c r="AHB22" s="26"/>
      <c r="AHC22" s="26"/>
      <c r="AHD22" s="26"/>
      <c r="AHE22" s="26"/>
      <c r="AHF22" s="26"/>
      <c r="AHG22" s="26"/>
      <c r="AHH22" s="26"/>
      <c r="AHI22" s="26"/>
      <c r="AHJ22" s="26"/>
      <c r="AHK22" s="26"/>
      <c r="AHL22" s="26"/>
      <c r="AHM22" s="26"/>
      <c r="AHN22" s="26"/>
      <c r="AHO22" s="26"/>
      <c r="AHP22" s="26"/>
      <c r="AHQ22" s="26"/>
      <c r="AHR22" s="26"/>
      <c r="AHS22" s="26"/>
      <c r="AHT22" s="26"/>
      <c r="AHU22" s="26"/>
      <c r="AHV22" s="26"/>
      <c r="AHW22" s="26"/>
      <c r="AHX22" s="26"/>
      <c r="AHY22" s="26"/>
      <c r="AHZ22" s="26"/>
      <c r="AIA22" s="26"/>
      <c r="AIB22" s="26"/>
      <c r="AIC22" s="26"/>
      <c r="AID22" s="26"/>
      <c r="AIE22" s="26"/>
      <c r="AIF22" s="26"/>
      <c r="AIG22" s="26"/>
      <c r="AIH22" s="26"/>
      <c r="AII22" s="26"/>
      <c r="AIJ22" s="26"/>
      <c r="AIK22" s="26"/>
      <c r="AIL22" s="26"/>
      <c r="AIM22" s="26"/>
      <c r="AIN22" s="26"/>
      <c r="AIO22" s="26"/>
      <c r="AIP22" s="26"/>
      <c r="AIQ22" s="26"/>
      <c r="AIR22" s="26"/>
      <c r="AIS22" s="26"/>
      <c r="AIT22" s="26"/>
      <c r="AIU22" s="26"/>
      <c r="AIV22" s="26"/>
      <c r="AIW22" s="26"/>
      <c r="AIX22" s="26"/>
      <c r="AIY22" s="26"/>
      <c r="AIZ22" s="26"/>
      <c r="AJA22" s="26"/>
      <c r="AJB22" s="26"/>
      <c r="AJC22" s="26"/>
      <c r="AJD22" s="26"/>
      <c r="AJE22" s="26"/>
      <c r="AJF22" s="26"/>
      <c r="AJG22" s="26"/>
      <c r="AJH22" s="26"/>
      <c r="AJI22" s="26"/>
      <c r="AJJ22" s="26"/>
      <c r="AJK22" s="26"/>
      <c r="AJL22" s="26"/>
      <c r="AJM22" s="26"/>
      <c r="AJN22" s="26"/>
      <c r="AJO22" s="26"/>
      <c r="AJP22" s="26"/>
      <c r="AJQ22" s="26"/>
      <c r="AJR22" s="26"/>
      <c r="AJS22" s="26"/>
      <c r="AJT22" s="26"/>
      <c r="AJU22" s="26"/>
      <c r="AJV22" s="26"/>
      <c r="AJW22" s="26"/>
      <c r="AJX22" s="26"/>
      <c r="AJY22" s="26"/>
      <c r="AJZ22" s="26"/>
      <c r="AKA22" s="26"/>
      <c r="AKB22" s="26"/>
      <c r="AKC22" s="26"/>
      <c r="AKD22" s="26"/>
      <c r="AKE22" s="26"/>
      <c r="AKF22" s="26"/>
      <c r="AKG22" s="26"/>
      <c r="AKH22" s="26"/>
      <c r="AKI22" s="26"/>
      <c r="AKJ22" s="26"/>
      <c r="AKK22" s="26"/>
      <c r="AKL22" s="26"/>
      <c r="AKM22" s="26"/>
      <c r="AKN22" s="26"/>
      <c r="AKO22" s="26"/>
      <c r="AKP22" s="26"/>
      <c r="AKQ22" s="26"/>
      <c r="AKR22" s="26"/>
      <c r="AKS22" s="26"/>
      <c r="AKT22" s="26"/>
      <c r="AKU22" s="26"/>
      <c r="AKV22" s="26"/>
      <c r="AKW22" s="26"/>
      <c r="AKX22" s="26"/>
      <c r="AKY22" s="26"/>
      <c r="AKZ22" s="26"/>
      <c r="ALA22" s="26"/>
      <c r="ALB22" s="26"/>
      <c r="ALC22" s="26"/>
      <c r="ALD22" s="26"/>
      <c r="ALE22" s="26"/>
      <c r="ALF22" s="26"/>
      <c r="ALG22" s="26"/>
      <c r="ALH22" s="26"/>
      <c r="ALI22" s="26"/>
      <c r="ALJ22" s="26"/>
      <c r="ALK22" s="26"/>
      <c r="ALL22" s="26"/>
      <c r="ALM22" s="26"/>
      <c r="ALN22" s="26"/>
      <c r="ALO22" s="26"/>
      <c r="ALP22" s="26"/>
      <c r="ALQ22" s="26"/>
      <c r="ALR22" s="26"/>
      <c r="ALS22" s="26"/>
      <c r="ALT22" s="26"/>
      <c r="ALU22" s="26"/>
      <c r="ALV22" s="26"/>
      <c r="ALW22" s="26"/>
      <c r="ALX22" s="26"/>
      <c r="ALY22" s="26"/>
      <c r="ALZ22" s="26"/>
      <c r="AMA22" s="26"/>
      <c r="AMB22" s="26"/>
      <c r="AMC22" s="26"/>
      <c r="AMD22" s="26"/>
      <c r="AME22" s="26"/>
    </row>
    <row r="23" customFormat="false" ht="22.5" hidden="false" customHeight="true" outlineLevel="0" collapsed="false">
      <c r="B23" s="40"/>
      <c r="C23" s="40"/>
      <c r="D23" s="40"/>
      <c r="E23" s="40"/>
      <c r="F23" s="40"/>
      <c r="G23" s="40"/>
      <c r="H23" s="40"/>
      <c r="I23" s="41"/>
      <c r="IQ23" s="26"/>
      <c r="IR23" s="26"/>
      <c r="IS23" s="26"/>
      <c r="IT23" s="26"/>
      <c r="IU23" s="26"/>
      <c r="IV23" s="26"/>
      <c r="IW23" s="26"/>
      <c r="IX23" s="26"/>
      <c r="IY23" s="26"/>
      <c r="IZ23" s="26"/>
      <c r="JA23" s="26"/>
      <c r="JB23" s="26"/>
      <c r="JC23" s="26"/>
      <c r="JD23" s="26"/>
      <c r="JE23" s="26"/>
      <c r="JF23" s="26"/>
      <c r="JG23" s="26"/>
      <c r="JH23" s="26"/>
      <c r="JI23" s="26"/>
      <c r="JJ23" s="26"/>
      <c r="JK23" s="26"/>
      <c r="JL23" s="26"/>
      <c r="JM23" s="26"/>
      <c r="JN23" s="26"/>
      <c r="JO23" s="26"/>
      <c r="JP23" s="26"/>
      <c r="JQ23" s="26"/>
      <c r="JR23" s="26"/>
      <c r="JS23" s="26"/>
      <c r="JT23" s="26"/>
      <c r="JU23" s="26"/>
      <c r="JV23" s="26"/>
      <c r="JW23" s="26"/>
      <c r="JX23" s="26"/>
      <c r="JY23" s="26"/>
      <c r="JZ23" s="26"/>
      <c r="KA23" s="26"/>
      <c r="KB23" s="26"/>
      <c r="KC23" s="26"/>
      <c r="KD23" s="26"/>
      <c r="KE23" s="26"/>
      <c r="KF23" s="26"/>
      <c r="KG23" s="26"/>
      <c r="KH23" s="26"/>
      <c r="KI23" s="26"/>
      <c r="KJ23" s="26"/>
      <c r="KK23" s="26"/>
      <c r="KL23" s="26"/>
      <c r="KM23" s="26"/>
      <c r="KN23" s="26"/>
      <c r="KO23" s="26"/>
      <c r="KP23" s="26"/>
      <c r="KQ23" s="26"/>
      <c r="KR23" s="26"/>
      <c r="KS23" s="26"/>
      <c r="KT23" s="26"/>
      <c r="KU23" s="26"/>
      <c r="KV23" s="26"/>
      <c r="KW23" s="26"/>
      <c r="KX23" s="26"/>
      <c r="KY23" s="26"/>
      <c r="KZ23" s="26"/>
      <c r="LA23" s="26"/>
      <c r="LB23" s="26"/>
      <c r="LC23" s="26"/>
      <c r="LD23" s="26"/>
      <c r="LE23" s="26"/>
      <c r="LF23" s="26"/>
      <c r="LG23" s="26"/>
      <c r="LH23" s="26"/>
      <c r="LI23" s="26"/>
      <c r="LJ23" s="26"/>
      <c r="LK23" s="26"/>
      <c r="LL23" s="26"/>
      <c r="LM23" s="26"/>
      <c r="LN23" s="26"/>
      <c r="LO23" s="26"/>
      <c r="LP23" s="26"/>
      <c r="LQ23" s="26"/>
      <c r="LR23" s="26"/>
      <c r="LS23" s="26"/>
      <c r="LT23" s="26"/>
      <c r="LU23" s="26"/>
      <c r="LV23" s="26"/>
      <c r="LW23" s="26"/>
      <c r="LX23" s="26"/>
      <c r="LY23" s="26"/>
      <c r="LZ23" s="26"/>
      <c r="MA23" s="26"/>
      <c r="MB23" s="26"/>
      <c r="MC23" s="26"/>
      <c r="MD23" s="26"/>
      <c r="ME23" s="26"/>
      <c r="MF23" s="26"/>
      <c r="MG23" s="26"/>
      <c r="MH23" s="26"/>
      <c r="MI23" s="26"/>
      <c r="MJ23" s="26"/>
      <c r="MK23" s="26"/>
      <c r="ML23" s="26"/>
      <c r="MM23" s="26"/>
      <c r="MN23" s="26"/>
      <c r="MO23" s="26"/>
      <c r="MP23" s="26"/>
      <c r="MQ23" s="26"/>
      <c r="MR23" s="26"/>
      <c r="MS23" s="26"/>
      <c r="MT23" s="26"/>
      <c r="MU23" s="26"/>
      <c r="MV23" s="26"/>
      <c r="MW23" s="26"/>
      <c r="MX23" s="26"/>
      <c r="MY23" s="26"/>
      <c r="MZ23" s="26"/>
      <c r="NA23" s="26"/>
      <c r="NB23" s="26"/>
      <c r="NC23" s="26"/>
      <c r="ND23" s="26"/>
      <c r="NE23" s="26"/>
      <c r="NF23" s="26"/>
      <c r="NG23" s="26"/>
      <c r="NH23" s="26"/>
      <c r="NI23" s="26"/>
      <c r="NJ23" s="26"/>
      <c r="NK23" s="26"/>
      <c r="NL23" s="26"/>
      <c r="NM23" s="26"/>
      <c r="NN23" s="26"/>
      <c r="NO23" s="26"/>
      <c r="NP23" s="26"/>
      <c r="NQ23" s="26"/>
      <c r="NR23" s="26"/>
      <c r="NS23" s="26"/>
      <c r="NT23" s="26"/>
      <c r="NU23" s="26"/>
      <c r="NV23" s="26"/>
      <c r="NW23" s="26"/>
      <c r="NX23" s="26"/>
      <c r="NY23" s="26"/>
      <c r="NZ23" s="26"/>
      <c r="OA23" s="26"/>
      <c r="OB23" s="26"/>
      <c r="OC23" s="26"/>
      <c r="OD23" s="26"/>
      <c r="OE23" s="26"/>
      <c r="OF23" s="26"/>
      <c r="OG23" s="26"/>
      <c r="OH23" s="26"/>
      <c r="OI23" s="26"/>
      <c r="OJ23" s="26"/>
      <c r="OK23" s="26"/>
      <c r="OL23" s="26"/>
      <c r="OM23" s="26"/>
      <c r="ON23" s="26"/>
      <c r="OO23" s="26"/>
      <c r="OP23" s="26"/>
      <c r="OQ23" s="26"/>
      <c r="OR23" s="26"/>
      <c r="OS23" s="26"/>
      <c r="OT23" s="26"/>
      <c r="OU23" s="26"/>
      <c r="OV23" s="26"/>
      <c r="OW23" s="26"/>
      <c r="OX23" s="26"/>
      <c r="OY23" s="26"/>
      <c r="OZ23" s="26"/>
      <c r="PA23" s="26"/>
      <c r="PB23" s="26"/>
      <c r="PC23" s="26"/>
      <c r="PD23" s="26"/>
      <c r="PE23" s="26"/>
      <c r="PF23" s="26"/>
      <c r="PG23" s="26"/>
      <c r="PH23" s="26"/>
      <c r="PI23" s="26"/>
      <c r="PJ23" s="26"/>
      <c r="PK23" s="26"/>
      <c r="PL23" s="26"/>
      <c r="PM23" s="26"/>
      <c r="PN23" s="26"/>
      <c r="PO23" s="26"/>
      <c r="PP23" s="26"/>
      <c r="PQ23" s="26"/>
      <c r="PR23" s="26"/>
      <c r="PS23" s="26"/>
      <c r="PT23" s="26"/>
      <c r="PU23" s="26"/>
      <c r="PV23" s="26"/>
      <c r="PW23" s="26"/>
      <c r="PX23" s="26"/>
      <c r="PY23" s="26"/>
      <c r="PZ23" s="26"/>
      <c r="QA23" s="26"/>
      <c r="QB23" s="26"/>
      <c r="QC23" s="26"/>
      <c r="QD23" s="26"/>
      <c r="QE23" s="26"/>
      <c r="QF23" s="26"/>
      <c r="QG23" s="26"/>
      <c r="QH23" s="26"/>
      <c r="QI23" s="26"/>
      <c r="QJ23" s="26"/>
      <c r="QK23" s="26"/>
      <c r="QL23" s="26"/>
      <c r="QM23" s="26"/>
      <c r="QN23" s="26"/>
      <c r="QO23" s="26"/>
      <c r="QP23" s="26"/>
      <c r="QQ23" s="26"/>
      <c r="QR23" s="26"/>
      <c r="QS23" s="26"/>
      <c r="QT23" s="26"/>
      <c r="QU23" s="26"/>
      <c r="QV23" s="26"/>
      <c r="QW23" s="26"/>
      <c r="QX23" s="26"/>
      <c r="QY23" s="26"/>
      <c r="QZ23" s="26"/>
      <c r="RA23" s="26"/>
      <c r="RB23" s="26"/>
      <c r="RC23" s="26"/>
      <c r="RD23" s="26"/>
      <c r="RE23" s="26"/>
      <c r="RF23" s="26"/>
      <c r="RG23" s="26"/>
      <c r="RH23" s="26"/>
      <c r="RI23" s="26"/>
      <c r="RJ23" s="26"/>
      <c r="RK23" s="26"/>
      <c r="RL23" s="26"/>
      <c r="RM23" s="26"/>
      <c r="RN23" s="26"/>
      <c r="RO23" s="26"/>
      <c r="RP23" s="26"/>
      <c r="RQ23" s="26"/>
      <c r="RR23" s="26"/>
      <c r="RS23" s="26"/>
      <c r="RT23" s="26"/>
      <c r="RU23" s="26"/>
      <c r="RV23" s="26"/>
      <c r="RW23" s="26"/>
      <c r="RX23" s="26"/>
      <c r="RY23" s="26"/>
      <c r="RZ23" s="26"/>
      <c r="SA23" s="26"/>
      <c r="SB23" s="26"/>
      <c r="SC23" s="26"/>
      <c r="SD23" s="26"/>
      <c r="SE23" s="26"/>
      <c r="SF23" s="26"/>
      <c r="SG23" s="26"/>
      <c r="SH23" s="26"/>
      <c r="SI23" s="26"/>
      <c r="SJ23" s="26"/>
      <c r="SK23" s="26"/>
      <c r="SL23" s="26"/>
      <c r="SM23" s="26"/>
      <c r="SN23" s="26"/>
      <c r="SO23" s="26"/>
      <c r="SP23" s="26"/>
      <c r="SQ23" s="26"/>
      <c r="SR23" s="26"/>
      <c r="SS23" s="26"/>
      <c r="ST23" s="26"/>
      <c r="SU23" s="26"/>
      <c r="SV23" s="26"/>
      <c r="SW23" s="26"/>
      <c r="SX23" s="26"/>
      <c r="SY23" s="26"/>
      <c r="SZ23" s="26"/>
      <c r="TA23" s="26"/>
      <c r="TB23" s="26"/>
      <c r="TC23" s="26"/>
      <c r="TD23" s="26"/>
      <c r="TE23" s="26"/>
      <c r="TF23" s="26"/>
      <c r="TG23" s="26"/>
      <c r="TH23" s="26"/>
      <c r="TI23" s="26"/>
      <c r="TJ23" s="26"/>
      <c r="TK23" s="26"/>
      <c r="TL23" s="26"/>
      <c r="TM23" s="26"/>
      <c r="TN23" s="26"/>
      <c r="TO23" s="26"/>
      <c r="TP23" s="26"/>
      <c r="TQ23" s="26"/>
      <c r="TR23" s="26"/>
      <c r="TS23" s="26"/>
      <c r="TT23" s="26"/>
      <c r="TU23" s="26"/>
      <c r="TV23" s="26"/>
      <c r="TW23" s="26"/>
      <c r="TX23" s="26"/>
      <c r="TY23" s="26"/>
      <c r="TZ23" s="26"/>
      <c r="UA23" s="26"/>
      <c r="UB23" s="26"/>
      <c r="UC23" s="26"/>
      <c r="UD23" s="26"/>
      <c r="UE23" s="26"/>
      <c r="UF23" s="26"/>
      <c r="UG23" s="26"/>
      <c r="UH23" s="26"/>
      <c r="UI23" s="26"/>
      <c r="UJ23" s="26"/>
      <c r="UK23" s="26"/>
      <c r="UL23" s="26"/>
      <c r="UM23" s="26"/>
      <c r="UN23" s="26"/>
      <c r="UO23" s="26"/>
      <c r="UP23" s="26"/>
      <c r="UQ23" s="26"/>
      <c r="UR23" s="26"/>
      <c r="US23" s="26"/>
      <c r="UT23" s="26"/>
      <c r="UU23" s="26"/>
      <c r="UV23" s="26"/>
      <c r="UW23" s="26"/>
      <c r="UX23" s="26"/>
      <c r="UY23" s="26"/>
      <c r="UZ23" s="26"/>
      <c r="VA23" s="26"/>
      <c r="VB23" s="26"/>
      <c r="VC23" s="26"/>
      <c r="VD23" s="26"/>
      <c r="VE23" s="26"/>
      <c r="VF23" s="26"/>
      <c r="VG23" s="26"/>
      <c r="VH23" s="26"/>
      <c r="VI23" s="26"/>
      <c r="VJ23" s="26"/>
      <c r="VK23" s="26"/>
      <c r="VL23" s="26"/>
      <c r="VM23" s="26"/>
      <c r="VN23" s="26"/>
      <c r="VO23" s="26"/>
      <c r="VP23" s="26"/>
      <c r="VQ23" s="26"/>
      <c r="VR23" s="26"/>
      <c r="VS23" s="26"/>
      <c r="VT23" s="26"/>
      <c r="VU23" s="26"/>
      <c r="VV23" s="26"/>
      <c r="VW23" s="26"/>
      <c r="VX23" s="26"/>
      <c r="VY23" s="26"/>
      <c r="VZ23" s="26"/>
      <c r="WA23" s="26"/>
      <c r="WB23" s="26"/>
      <c r="WC23" s="26"/>
      <c r="WD23" s="26"/>
      <c r="WE23" s="26"/>
      <c r="WF23" s="26"/>
      <c r="WG23" s="26"/>
      <c r="WH23" s="26"/>
      <c r="WI23" s="26"/>
      <c r="WJ23" s="26"/>
      <c r="WK23" s="26"/>
      <c r="WL23" s="26"/>
      <c r="WM23" s="26"/>
      <c r="WN23" s="26"/>
      <c r="WO23" s="26"/>
      <c r="WP23" s="26"/>
      <c r="WQ23" s="26"/>
      <c r="WR23" s="26"/>
      <c r="WS23" s="26"/>
      <c r="WT23" s="26"/>
      <c r="WU23" s="26"/>
      <c r="WV23" s="26"/>
      <c r="WW23" s="26"/>
      <c r="WX23" s="26"/>
      <c r="WY23" s="26"/>
      <c r="WZ23" s="26"/>
      <c r="XA23" s="26"/>
      <c r="XB23" s="26"/>
      <c r="XC23" s="26"/>
      <c r="XD23" s="26"/>
      <c r="XE23" s="26"/>
      <c r="XF23" s="26"/>
      <c r="XG23" s="26"/>
      <c r="XH23" s="26"/>
      <c r="XI23" s="26"/>
      <c r="XJ23" s="26"/>
      <c r="XK23" s="26"/>
      <c r="XL23" s="26"/>
      <c r="XM23" s="26"/>
      <c r="XN23" s="26"/>
      <c r="XO23" s="26"/>
      <c r="XP23" s="26"/>
      <c r="XQ23" s="26"/>
      <c r="XR23" s="26"/>
      <c r="XS23" s="26"/>
      <c r="XT23" s="26"/>
      <c r="XU23" s="26"/>
      <c r="XV23" s="26"/>
      <c r="XW23" s="26"/>
      <c r="XX23" s="26"/>
      <c r="XY23" s="26"/>
      <c r="XZ23" s="26"/>
      <c r="YA23" s="26"/>
      <c r="YB23" s="26"/>
      <c r="YC23" s="26"/>
      <c r="YD23" s="26"/>
      <c r="YE23" s="26"/>
      <c r="YF23" s="26"/>
      <c r="YG23" s="26"/>
      <c r="YH23" s="26"/>
      <c r="YI23" s="26"/>
      <c r="YJ23" s="26"/>
      <c r="YK23" s="26"/>
      <c r="YL23" s="26"/>
      <c r="YM23" s="26"/>
      <c r="YN23" s="26"/>
      <c r="YO23" s="26"/>
      <c r="YP23" s="26"/>
      <c r="YQ23" s="26"/>
      <c r="YR23" s="26"/>
      <c r="YS23" s="26"/>
      <c r="YT23" s="26"/>
      <c r="YU23" s="26"/>
      <c r="YV23" s="26"/>
      <c r="YW23" s="26"/>
      <c r="YX23" s="26"/>
      <c r="YY23" s="26"/>
      <c r="YZ23" s="26"/>
      <c r="ZA23" s="26"/>
      <c r="ZB23" s="26"/>
      <c r="ZC23" s="26"/>
      <c r="ZD23" s="26"/>
      <c r="ZE23" s="26"/>
      <c r="ZF23" s="26"/>
      <c r="ZG23" s="26"/>
      <c r="ZH23" s="26"/>
      <c r="ZI23" s="26"/>
      <c r="ZJ23" s="26"/>
      <c r="ZK23" s="26"/>
      <c r="ZL23" s="26"/>
      <c r="ZM23" s="26"/>
      <c r="ZN23" s="26"/>
      <c r="ZO23" s="26"/>
      <c r="ZP23" s="26"/>
      <c r="ZQ23" s="26"/>
      <c r="ZR23" s="26"/>
      <c r="ZS23" s="26"/>
      <c r="ZT23" s="26"/>
      <c r="ZU23" s="26"/>
      <c r="ZV23" s="26"/>
      <c r="ZW23" s="26"/>
      <c r="ZX23" s="26"/>
      <c r="ZY23" s="26"/>
      <c r="ZZ23" s="26"/>
      <c r="AAA23" s="26"/>
      <c r="AAB23" s="26"/>
      <c r="AAC23" s="26"/>
      <c r="AAD23" s="26"/>
      <c r="AAE23" s="26"/>
      <c r="AAF23" s="26"/>
      <c r="AAG23" s="26"/>
      <c r="AAH23" s="26"/>
      <c r="AAI23" s="26"/>
      <c r="AAJ23" s="26"/>
      <c r="AAK23" s="26"/>
      <c r="AAL23" s="26"/>
      <c r="AAM23" s="26"/>
      <c r="AAN23" s="26"/>
      <c r="AAO23" s="26"/>
      <c r="AAP23" s="26"/>
      <c r="AAQ23" s="26"/>
      <c r="AAR23" s="26"/>
      <c r="AAS23" s="26"/>
      <c r="AAT23" s="26"/>
      <c r="AAU23" s="26"/>
      <c r="AAV23" s="26"/>
      <c r="AAW23" s="26"/>
      <c r="AAX23" s="26"/>
      <c r="AAY23" s="26"/>
      <c r="AAZ23" s="26"/>
      <c r="ABA23" s="26"/>
      <c r="ABB23" s="26"/>
      <c r="ABC23" s="26"/>
      <c r="ABD23" s="26"/>
      <c r="ABE23" s="26"/>
      <c r="ABF23" s="26"/>
      <c r="ABG23" s="26"/>
      <c r="ABH23" s="26"/>
      <c r="ABI23" s="26"/>
      <c r="ABJ23" s="26"/>
      <c r="ABK23" s="26"/>
      <c r="ABL23" s="26"/>
      <c r="ABM23" s="26"/>
      <c r="ABN23" s="26"/>
      <c r="ABO23" s="26"/>
      <c r="ABP23" s="26"/>
      <c r="ABQ23" s="26"/>
      <c r="ABR23" s="26"/>
      <c r="ABS23" s="26"/>
      <c r="ABT23" s="26"/>
      <c r="ABU23" s="26"/>
      <c r="ABV23" s="26"/>
      <c r="ABW23" s="26"/>
      <c r="ABX23" s="26"/>
      <c r="ABY23" s="26"/>
      <c r="ABZ23" s="26"/>
      <c r="ACA23" s="26"/>
      <c r="ACB23" s="26"/>
      <c r="ACC23" s="26"/>
      <c r="ACD23" s="26"/>
      <c r="ACE23" s="26"/>
      <c r="ACF23" s="26"/>
      <c r="ACG23" s="26"/>
      <c r="ACH23" s="26"/>
      <c r="ACI23" s="26"/>
      <c r="ACJ23" s="26"/>
      <c r="ACK23" s="26"/>
      <c r="ACL23" s="26"/>
      <c r="ACM23" s="26"/>
      <c r="ACN23" s="26"/>
      <c r="ACO23" s="26"/>
      <c r="ACP23" s="26"/>
      <c r="ACQ23" s="26"/>
      <c r="ACR23" s="26"/>
      <c r="ACS23" s="26"/>
      <c r="ACT23" s="26"/>
      <c r="ACU23" s="26"/>
      <c r="ACV23" s="26"/>
      <c r="ACW23" s="26"/>
      <c r="ACX23" s="26"/>
      <c r="ACY23" s="26"/>
      <c r="ACZ23" s="26"/>
      <c r="ADA23" s="26"/>
      <c r="ADB23" s="26"/>
      <c r="ADC23" s="26"/>
      <c r="ADD23" s="26"/>
      <c r="ADE23" s="26"/>
      <c r="ADF23" s="26"/>
      <c r="ADG23" s="26"/>
      <c r="ADH23" s="26"/>
      <c r="ADI23" s="26"/>
      <c r="ADJ23" s="26"/>
      <c r="ADK23" s="26"/>
      <c r="ADL23" s="26"/>
      <c r="ADM23" s="26"/>
      <c r="ADN23" s="26"/>
      <c r="ADO23" s="26"/>
      <c r="ADP23" s="26"/>
      <c r="ADQ23" s="26"/>
      <c r="ADR23" s="26"/>
      <c r="ADS23" s="26"/>
      <c r="ADT23" s="26"/>
      <c r="ADU23" s="26"/>
      <c r="ADV23" s="26"/>
      <c r="ADW23" s="26"/>
      <c r="ADX23" s="26"/>
      <c r="ADY23" s="26"/>
      <c r="ADZ23" s="26"/>
      <c r="AEA23" s="26"/>
      <c r="AEB23" s="26"/>
      <c r="AEC23" s="26"/>
      <c r="AED23" s="26"/>
      <c r="AEE23" s="26"/>
      <c r="AEF23" s="26"/>
      <c r="AEG23" s="26"/>
      <c r="AEH23" s="26"/>
      <c r="AEI23" s="26"/>
      <c r="AEJ23" s="26"/>
      <c r="AEK23" s="26"/>
      <c r="AEL23" s="26"/>
      <c r="AEM23" s="26"/>
      <c r="AEN23" s="26"/>
      <c r="AEO23" s="26"/>
      <c r="AEP23" s="26"/>
      <c r="AEQ23" s="26"/>
      <c r="AER23" s="26"/>
      <c r="AES23" s="26"/>
      <c r="AET23" s="26"/>
      <c r="AEU23" s="26"/>
      <c r="AEV23" s="26"/>
      <c r="AEW23" s="26"/>
      <c r="AEX23" s="26"/>
      <c r="AEY23" s="26"/>
      <c r="AEZ23" s="26"/>
      <c r="AFA23" s="26"/>
      <c r="AFB23" s="26"/>
      <c r="AFC23" s="26"/>
      <c r="AFD23" s="26"/>
      <c r="AFE23" s="26"/>
      <c r="AFF23" s="26"/>
      <c r="AFG23" s="26"/>
      <c r="AFH23" s="26"/>
      <c r="AFI23" s="26"/>
      <c r="AFJ23" s="26"/>
      <c r="AFK23" s="26"/>
      <c r="AFL23" s="26"/>
      <c r="AFM23" s="26"/>
      <c r="AFN23" s="26"/>
      <c r="AFO23" s="26"/>
      <c r="AFP23" s="26"/>
      <c r="AFQ23" s="26"/>
      <c r="AFR23" s="26"/>
      <c r="AFS23" s="26"/>
      <c r="AFT23" s="26"/>
      <c r="AFU23" s="26"/>
      <c r="AFV23" s="26"/>
      <c r="AFW23" s="26"/>
      <c r="AFX23" s="26"/>
      <c r="AFY23" s="26"/>
      <c r="AFZ23" s="26"/>
      <c r="AGA23" s="26"/>
      <c r="AGB23" s="26"/>
      <c r="AGC23" s="26"/>
      <c r="AGD23" s="26"/>
      <c r="AGE23" s="26"/>
      <c r="AGF23" s="26"/>
      <c r="AGG23" s="26"/>
      <c r="AGH23" s="26"/>
      <c r="AGI23" s="26"/>
      <c r="AGJ23" s="26"/>
      <c r="AGK23" s="26"/>
      <c r="AGL23" s="26"/>
      <c r="AGM23" s="26"/>
      <c r="AGN23" s="26"/>
      <c r="AGO23" s="26"/>
      <c r="AGP23" s="26"/>
      <c r="AGQ23" s="26"/>
      <c r="AGR23" s="26"/>
      <c r="AGS23" s="26"/>
      <c r="AGT23" s="26"/>
      <c r="AGU23" s="26"/>
      <c r="AGV23" s="26"/>
      <c r="AGW23" s="26"/>
      <c r="AGX23" s="26"/>
      <c r="AGY23" s="26"/>
      <c r="AGZ23" s="26"/>
      <c r="AHA23" s="26"/>
      <c r="AHB23" s="26"/>
      <c r="AHC23" s="26"/>
      <c r="AHD23" s="26"/>
      <c r="AHE23" s="26"/>
      <c r="AHF23" s="26"/>
      <c r="AHG23" s="26"/>
      <c r="AHH23" s="26"/>
      <c r="AHI23" s="26"/>
      <c r="AHJ23" s="26"/>
      <c r="AHK23" s="26"/>
      <c r="AHL23" s="26"/>
      <c r="AHM23" s="26"/>
      <c r="AHN23" s="26"/>
      <c r="AHO23" s="26"/>
      <c r="AHP23" s="26"/>
      <c r="AHQ23" s="26"/>
      <c r="AHR23" s="26"/>
      <c r="AHS23" s="26"/>
      <c r="AHT23" s="26"/>
      <c r="AHU23" s="26"/>
      <c r="AHV23" s="26"/>
      <c r="AHW23" s="26"/>
      <c r="AHX23" s="26"/>
      <c r="AHY23" s="26"/>
      <c r="AHZ23" s="26"/>
      <c r="AIA23" s="26"/>
      <c r="AIB23" s="26"/>
      <c r="AIC23" s="26"/>
      <c r="AID23" s="26"/>
      <c r="AIE23" s="26"/>
      <c r="AIF23" s="26"/>
      <c r="AIG23" s="26"/>
      <c r="AIH23" s="26"/>
      <c r="AII23" s="26"/>
      <c r="AIJ23" s="26"/>
      <c r="AIK23" s="26"/>
      <c r="AIL23" s="26"/>
      <c r="AIM23" s="26"/>
      <c r="AIN23" s="26"/>
      <c r="AIO23" s="26"/>
      <c r="AIP23" s="26"/>
      <c r="AIQ23" s="26"/>
      <c r="AIR23" s="26"/>
      <c r="AIS23" s="26"/>
      <c r="AIT23" s="26"/>
      <c r="AIU23" s="26"/>
      <c r="AIV23" s="26"/>
      <c r="AIW23" s="26"/>
      <c r="AIX23" s="26"/>
      <c r="AIY23" s="26"/>
      <c r="AIZ23" s="26"/>
      <c r="AJA23" s="26"/>
      <c r="AJB23" s="26"/>
      <c r="AJC23" s="26"/>
      <c r="AJD23" s="26"/>
      <c r="AJE23" s="26"/>
      <c r="AJF23" s="26"/>
      <c r="AJG23" s="26"/>
      <c r="AJH23" s="26"/>
      <c r="AJI23" s="26"/>
      <c r="AJJ23" s="26"/>
      <c r="AJK23" s="26"/>
      <c r="AJL23" s="26"/>
      <c r="AJM23" s="26"/>
      <c r="AJN23" s="26"/>
      <c r="AJO23" s="26"/>
      <c r="AJP23" s="26"/>
      <c r="AJQ23" s="26"/>
      <c r="AJR23" s="26"/>
      <c r="AJS23" s="26"/>
      <c r="AJT23" s="26"/>
      <c r="AJU23" s="26"/>
      <c r="AJV23" s="26"/>
      <c r="AJW23" s="26"/>
      <c r="AJX23" s="26"/>
      <c r="AJY23" s="26"/>
      <c r="AJZ23" s="26"/>
      <c r="AKA23" s="26"/>
      <c r="AKB23" s="26"/>
      <c r="AKC23" s="26"/>
      <c r="AKD23" s="26"/>
      <c r="AKE23" s="26"/>
      <c r="AKF23" s="26"/>
      <c r="AKG23" s="26"/>
      <c r="AKH23" s="26"/>
      <c r="AKI23" s="26"/>
      <c r="AKJ23" s="26"/>
      <c r="AKK23" s="26"/>
      <c r="AKL23" s="26"/>
      <c r="AKM23" s="26"/>
      <c r="AKN23" s="26"/>
      <c r="AKO23" s="26"/>
      <c r="AKP23" s="26"/>
      <c r="AKQ23" s="26"/>
      <c r="AKR23" s="26"/>
      <c r="AKS23" s="26"/>
      <c r="AKT23" s="26"/>
      <c r="AKU23" s="26"/>
      <c r="AKV23" s="26"/>
      <c r="AKW23" s="26"/>
      <c r="AKX23" s="26"/>
      <c r="AKY23" s="26"/>
      <c r="AKZ23" s="26"/>
      <c r="ALA23" s="26"/>
      <c r="ALB23" s="26"/>
      <c r="ALC23" s="26"/>
      <c r="ALD23" s="26"/>
      <c r="ALE23" s="26"/>
      <c r="ALF23" s="26"/>
      <c r="ALG23" s="26"/>
      <c r="ALH23" s="26"/>
      <c r="ALI23" s="26"/>
      <c r="ALJ23" s="26"/>
      <c r="ALK23" s="26"/>
      <c r="ALL23" s="26"/>
      <c r="ALM23" s="26"/>
      <c r="ALN23" s="26"/>
      <c r="ALO23" s="26"/>
      <c r="ALP23" s="26"/>
      <c r="ALQ23" s="26"/>
      <c r="ALR23" s="26"/>
      <c r="ALS23" s="26"/>
      <c r="ALT23" s="26"/>
      <c r="ALU23" s="26"/>
      <c r="ALV23" s="26"/>
      <c r="ALW23" s="26"/>
      <c r="ALX23" s="26"/>
      <c r="ALY23" s="26"/>
      <c r="ALZ23" s="26"/>
      <c r="AMA23" s="26"/>
      <c r="AMB23" s="26"/>
      <c r="AMC23" s="26"/>
      <c r="AMD23" s="26"/>
      <c r="AME23" s="26"/>
    </row>
    <row r="24" customFormat="false" ht="27.75" hidden="false" customHeight="true" outlineLevel="0" collapsed="false">
      <c r="A24" s="26"/>
      <c r="B24" s="31" t="str">
        <f aca="false">"BASE "&amp;B6</f>
        <v>BASE JOINVILLE</v>
      </c>
      <c r="C24" s="32" t="s">
        <v>23</v>
      </c>
      <c r="D24" s="32"/>
      <c r="E24" s="32"/>
      <c r="F24" s="32" t="s">
        <v>24</v>
      </c>
      <c r="G24" s="32"/>
      <c r="H24" s="32"/>
      <c r="I24" s="33" t="s">
        <v>25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34"/>
    </row>
    <row r="25" customFormat="false" ht="22.5" hidden="false" customHeight="true" outlineLevel="0" collapsed="false">
      <c r="A25" s="26"/>
      <c r="B25" s="31"/>
      <c r="C25" s="35" t="s">
        <v>26</v>
      </c>
      <c r="D25" s="35" t="s">
        <v>27</v>
      </c>
      <c r="E25" s="35" t="s">
        <v>28</v>
      </c>
      <c r="F25" s="36" t="s">
        <v>26</v>
      </c>
      <c r="G25" s="36" t="s">
        <v>27</v>
      </c>
      <c r="H25" s="36" t="s">
        <v>28</v>
      </c>
      <c r="I25" s="36" t="s">
        <v>29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34"/>
    </row>
    <row r="26" customFormat="false" ht="16.5" hidden="false" customHeight="true" outlineLevel="0" collapsed="false">
      <c r="B26" s="23" t="str">
        <f aca="false">'Base Joinville'!B7</f>
        <v>APS CANOINHAS</v>
      </c>
      <c r="C26" s="25" t="n">
        <f aca="false">'Base Joinville'!AO7</f>
        <v>2584.02673546289</v>
      </c>
      <c r="D26" s="25" t="n">
        <f aca="false">C26*3</f>
        <v>7752.08020638868</v>
      </c>
      <c r="E26" s="25" t="n">
        <f aca="false">C26+D26</f>
        <v>10336.1069418516</v>
      </c>
      <c r="F26" s="25" t="n">
        <f aca="false">C26*12</f>
        <v>31008.3208255547</v>
      </c>
      <c r="G26" s="25" t="n">
        <f aca="false">F26*3</f>
        <v>93024.9624766641</v>
      </c>
      <c r="H26" s="25" t="n">
        <f aca="false">F26+G26</f>
        <v>124033.283302219</v>
      </c>
      <c r="I26" s="37" t="n">
        <f aca="false">F26/$E$7</f>
        <v>0.0822751663951372</v>
      </c>
    </row>
    <row r="27" customFormat="false" ht="16.5" hidden="false" customHeight="true" outlineLevel="0" collapsed="false">
      <c r="B27" s="23" t="str">
        <f aca="false">'Base Joinville'!B8</f>
        <v>APS GUARAMIRIM</v>
      </c>
      <c r="C27" s="25" t="n">
        <f aca="false">'Base Joinville'!AO8</f>
        <v>1152.54814531732</v>
      </c>
      <c r="D27" s="25" t="n">
        <f aca="false">C27*3</f>
        <v>3457.64443595195</v>
      </c>
      <c r="E27" s="25" t="n">
        <f aca="false">C27+D27</f>
        <v>4610.19258126927</v>
      </c>
      <c r="F27" s="25" t="n">
        <f aca="false">C27*12</f>
        <v>13830.5777438078</v>
      </c>
      <c r="G27" s="25" t="n">
        <f aca="false">F27*3</f>
        <v>41491.7332314234</v>
      </c>
      <c r="H27" s="25" t="n">
        <f aca="false">F27+G27</f>
        <v>55322.3109752312</v>
      </c>
      <c r="I27" s="37" t="n">
        <f aca="false">F27/$E$7</f>
        <v>0.0366970237316071</v>
      </c>
    </row>
    <row r="28" customFormat="false" ht="16.5" hidden="false" customHeight="true" outlineLevel="0" collapsed="false">
      <c r="B28" s="23" t="str">
        <f aca="false">'Base Joinville'!B9</f>
        <v>APS JARAGUÁ DO SUL</v>
      </c>
      <c r="C28" s="25" t="n">
        <f aca="false">'Base Joinville'!AO9</f>
        <v>1875.31654197566</v>
      </c>
      <c r="D28" s="25" t="n">
        <f aca="false">C28*3</f>
        <v>5625.94962592699</v>
      </c>
      <c r="E28" s="25" t="n">
        <f aca="false">C28+D28</f>
        <v>7501.26616790266</v>
      </c>
      <c r="F28" s="25" t="n">
        <f aca="false">C28*12</f>
        <v>22503.798503708</v>
      </c>
      <c r="G28" s="25" t="n">
        <f aca="false">F28*3</f>
        <v>67511.3955111239</v>
      </c>
      <c r="H28" s="25" t="n">
        <f aca="false">F28+G28</f>
        <v>90015.1940148319</v>
      </c>
      <c r="I28" s="37" t="n">
        <f aca="false">F28/$E$7</f>
        <v>0.0597099009917797</v>
      </c>
    </row>
    <row r="29" customFormat="false" ht="16.5" hidden="false" customHeight="true" outlineLevel="0" collapsed="false">
      <c r="B29" s="23" t="str">
        <f aca="false">'Base Joinville'!B10</f>
        <v>APS MAFRA</v>
      </c>
      <c r="C29" s="25" t="n">
        <f aca="false">'Base Joinville'!AO10</f>
        <v>1694.65917766865</v>
      </c>
      <c r="D29" s="25" t="n">
        <f aca="false">C29*3</f>
        <v>5083.97753300594</v>
      </c>
      <c r="E29" s="25" t="n">
        <f aca="false">C29+D29</f>
        <v>6778.63671067458</v>
      </c>
      <c r="F29" s="25" t="n">
        <f aca="false">C29*12</f>
        <v>20335.9101320237</v>
      </c>
      <c r="G29" s="25" t="n">
        <f aca="false">F29*3</f>
        <v>61007.7303960712</v>
      </c>
      <c r="H29" s="25" t="n">
        <f aca="false">F29+G29</f>
        <v>81343.640528095</v>
      </c>
      <c r="I29" s="37" t="n">
        <f aca="false">F29/$E$7</f>
        <v>0.0539577876313101</v>
      </c>
    </row>
    <row r="30" customFormat="false" ht="16.5" hidden="false" customHeight="true" outlineLevel="0" collapsed="false">
      <c r="B30" s="23" t="str">
        <f aca="false">'Base Joinville'!B11</f>
        <v>APS RIO NEGRO</v>
      </c>
      <c r="C30" s="25" t="n">
        <f aca="false">'Base Joinville'!AO11</f>
        <v>1351.41864305548</v>
      </c>
      <c r="D30" s="25" t="n">
        <f aca="false">C30*3</f>
        <v>4054.25592916645</v>
      </c>
      <c r="E30" s="25" t="n">
        <f aca="false">C30+D30</f>
        <v>5405.67457222194</v>
      </c>
      <c r="F30" s="25" t="n">
        <f aca="false">C30*12</f>
        <v>16217.0237166658</v>
      </c>
      <c r="G30" s="25" t="n">
        <f aca="false">F30*3</f>
        <v>48651.0711499974</v>
      </c>
      <c r="H30" s="25" t="n">
        <f aca="false">F30+G30</f>
        <v>64868.0948666632</v>
      </c>
      <c r="I30" s="37" t="n">
        <f aca="false">F30/$E$7</f>
        <v>0.0430290415346506</v>
      </c>
    </row>
    <row r="31" customFormat="false" ht="16.5" hidden="false" customHeight="true" outlineLevel="0" collapsed="false">
      <c r="B31" s="23" t="str">
        <f aca="false">'Base Joinville'!B12</f>
        <v>APS SÃO BENTO DO SUL</v>
      </c>
      <c r="C31" s="25" t="n">
        <f aca="false">'Base Joinville'!AO12</f>
        <v>1996.65032329625</v>
      </c>
      <c r="D31" s="25" t="n">
        <f aca="false">C31*3</f>
        <v>5989.95096988876</v>
      </c>
      <c r="E31" s="25" t="n">
        <f aca="false">C31+D31</f>
        <v>7986.60129318501</v>
      </c>
      <c r="F31" s="25" t="n">
        <f aca="false">C31*12</f>
        <v>23959.803879555</v>
      </c>
      <c r="G31" s="25" t="n">
        <f aca="false">F31*3</f>
        <v>71879.4116386651</v>
      </c>
      <c r="H31" s="25" t="n">
        <f aca="false">F31+G31</f>
        <v>95839.2155182201</v>
      </c>
      <c r="I31" s="37" t="n">
        <f aca="false">F31/$E$7</f>
        <v>0.0635731570914556</v>
      </c>
    </row>
    <row r="32" customFormat="false" ht="16.5" hidden="false" customHeight="true" outlineLevel="0" collapsed="false">
      <c r="B32" s="23" t="str">
        <f aca="false">'Base Joinville'!B13</f>
        <v>APS SÃO FRANCISCO DO SUL</v>
      </c>
      <c r="C32" s="25" t="n">
        <f aca="false">'Base Joinville'!AO13</f>
        <v>1309.35554562202</v>
      </c>
      <c r="D32" s="25" t="n">
        <f aca="false">C32*3</f>
        <v>3928.06663686607</v>
      </c>
      <c r="E32" s="25" t="n">
        <f aca="false">C32+D32</f>
        <v>5237.42218248809</v>
      </c>
      <c r="F32" s="25" t="n">
        <f aca="false">C32*12</f>
        <v>15712.2665474643</v>
      </c>
      <c r="G32" s="25" t="n">
        <f aca="false">F32*3</f>
        <v>47136.7996423928</v>
      </c>
      <c r="H32" s="25" t="n">
        <f aca="false">F32+G32</f>
        <v>62849.0661898571</v>
      </c>
      <c r="I32" s="37" t="n">
        <f aca="false">F32/$E$7</f>
        <v>0.0416897564982623</v>
      </c>
    </row>
    <row r="33" customFormat="false" ht="16.5" hidden="false" customHeight="true" outlineLevel="0" collapsed="false">
      <c r="B33" s="23" t="str">
        <f aca="false">'Base Joinville'!B14</f>
        <v>GEX/APS JOINVILLE</v>
      </c>
      <c r="C33" s="25" t="n">
        <f aca="false">'Base Joinville'!AO14</f>
        <v>2244.33134689238</v>
      </c>
      <c r="D33" s="25" t="n">
        <f aca="false">C33*3</f>
        <v>6732.99404067713</v>
      </c>
      <c r="E33" s="25" t="n">
        <f aca="false">C33+D33</f>
        <v>8977.3253875695</v>
      </c>
      <c r="F33" s="25" t="n">
        <f aca="false">C33*12</f>
        <v>26931.9761627085</v>
      </c>
      <c r="G33" s="25" t="n">
        <f aca="false">F33*3</f>
        <v>80795.9284881255</v>
      </c>
      <c r="H33" s="25" t="n">
        <f aca="false">F33+G33</f>
        <v>107727.904650834</v>
      </c>
      <c r="I33" s="37" t="n">
        <f aca="false">F33/$E$7</f>
        <v>0.071459297412538</v>
      </c>
    </row>
    <row r="34" customFormat="false" ht="16.5" hidden="false" customHeight="true" outlineLevel="0" collapsed="false">
      <c r="B34" s="23" t="str">
        <f aca="false">'Base Joinville'!B15</f>
        <v>DEPÓSITO JOINVILLE - GUANABARA</v>
      </c>
      <c r="C34" s="25" t="n">
        <f aca="false">'Base Joinville'!AO15</f>
        <v>1421.15120266417</v>
      </c>
      <c r="D34" s="25" t="n">
        <f aca="false">C34*3</f>
        <v>4263.45360799251</v>
      </c>
      <c r="E34" s="25" t="n">
        <f aca="false">C34+D34</f>
        <v>5684.60481065668</v>
      </c>
      <c r="F34" s="25" t="n">
        <f aca="false">C34*12</f>
        <v>17053.81443197</v>
      </c>
      <c r="G34" s="25" t="n">
        <f aca="false">F34*3</f>
        <v>51161.4432959101</v>
      </c>
      <c r="H34" s="25" t="n">
        <f aca="false">F34+G34</f>
        <v>68215.2577278801</v>
      </c>
      <c r="I34" s="37" t="n">
        <f aca="false">F34/$E$7</f>
        <v>0.0452493196247439</v>
      </c>
    </row>
    <row r="35" customFormat="false" ht="22.5" hidden="false" customHeight="true" outlineLevel="0" collapsed="false">
      <c r="B35" s="42" t="str">
        <f aca="false">"Total Base "&amp;B6</f>
        <v>Total Base JOINVILLE</v>
      </c>
      <c r="C35" s="42" t="n">
        <f aca="false">SUM(C26:C34)</f>
        <v>15629.4576619548</v>
      </c>
      <c r="D35" s="42" t="n">
        <f aca="false">SUM(D26:D34)</f>
        <v>46888.3729858645</v>
      </c>
      <c r="E35" s="42" t="n">
        <f aca="false">SUM(E26:E34)</f>
        <v>62517.8306478193</v>
      </c>
      <c r="F35" s="42" t="n">
        <f aca="false">SUM(F26:F34)</f>
        <v>187553.491943458</v>
      </c>
      <c r="G35" s="42" t="n">
        <f aca="false">SUM(G26:G34)</f>
        <v>562660.475830374</v>
      </c>
      <c r="H35" s="42" t="n">
        <f aca="false">SUM(H26:H34)</f>
        <v>750213.967773831</v>
      </c>
      <c r="I35" s="43" t="n">
        <f aca="false">SUM(I26:I34)</f>
        <v>0.497640450911485</v>
      </c>
    </row>
    <row r="36" customFormat="false" ht="22.5" hidden="false" customHeight="true" outlineLevel="0" collapsed="false">
      <c r="B36" s="44"/>
      <c r="C36" s="40"/>
      <c r="D36" s="40"/>
      <c r="E36" s="40"/>
      <c r="F36" s="40"/>
      <c r="G36" s="40"/>
      <c r="H36" s="40"/>
      <c r="I36" s="41"/>
    </row>
  </sheetData>
  <mergeCells count="7">
    <mergeCell ref="B2:I2"/>
    <mergeCell ref="B9:B10"/>
    <mergeCell ref="C9:E9"/>
    <mergeCell ref="F9:H9"/>
    <mergeCell ref="B24:B25"/>
    <mergeCell ref="C24:E24"/>
    <mergeCell ref="F24:H24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5" t="str">
        <f aca="false">"CÁLCULO DO CUSTO DA EQUIPE TÉCNICA PARA O "&amp;'Valor da Contratação'!B7&amp;""</f>
        <v>CÁLCULO DO CUSTO DA EQUIPE TÉCNICA PARA O POLO IV</v>
      </c>
      <c r="C2" s="45"/>
      <c r="D2" s="45"/>
      <c r="E2" s="45"/>
    </row>
    <row r="3" customFormat="false" ht="15" hidden="false" customHeight="true" outlineLevel="0" collapsed="false">
      <c r="B3" s="46"/>
      <c r="C3" s="46"/>
      <c r="D3" s="46"/>
      <c r="E3" s="46"/>
    </row>
    <row r="4" customFormat="false" ht="45.75" hidden="false" customHeight="true" outlineLevel="0" collapsed="false">
      <c r="B4" s="47" t="s">
        <v>30</v>
      </c>
      <c r="C4" s="48" t="s">
        <v>31</v>
      </c>
      <c r="D4" s="48" t="s">
        <v>32</v>
      </c>
      <c r="E4" s="48" t="s">
        <v>33</v>
      </c>
    </row>
    <row r="5" customFormat="false" ht="19.5" hidden="false" customHeight="true" outlineLevel="0" collapsed="false">
      <c r="B5" s="47"/>
      <c r="C5" s="49" t="n">
        <v>147.07</v>
      </c>
      <c r="D5" s="49" t="n">
        <f aca="false">'Comp. Eng. Eletricista'!D11</f>
        <v>173.91288</v>
      </c>
      <c r="E5" s="49" t="n">
        <v>35.8</v>
      </c>
    </row>
    <row r="6" customFormat="false" ht="19.5" hidden="false" customHeight="true" outlineLevel="0" collapsed="false">
      <c r="B6" s="50" t="s">
        <v>34</v>
      </c>
      <c r="C6" s="51" t="n">
        <v>80</v>
      </c>
      <c r="D6" s="51" t="n">
        <v>16</v>
      </c>
      <c r="E6" s="51" t="n">
        <v>80</v>
      </c>
    </row>
    <row r="7" customFormat="false" ht="19.5" hidden="false" customHeight="true" outlineLevel="0" collapsed="false">
      <c r="B7" s="50" t="s">
        <v>35</v>
      </c>
      <c r="C7" s="49" t="n">
        <f aca="false">C5*C6</f>
        <v>11765.6</v>
      </c>
      <c r="D7" s="49" t="n">
        <f aca="false">D5*D6</f>
        <v>2782.60608</v>
      </c>
      <c r="E7" s="49" t="n">
        <f aca="false">E5*E6</f>
        <v>2864</v>
      </c>
    </row>
    <row r="8" customFormat="false" ht="19.5" hidden="false" customHeight="true" outlineLevel="0" collapsed="false">
      <c r="B8" s="50" t="s">
        <v>36</v>
      </c>
      <c r="C8" s="49" t="n">
        <f aca="false">C5*C6*12</f>
        <v>141187.2</v>
      </c>
      <c r="D8" s="49" t="n">
        <f aca="false">D5*D6*12</f>
        <v>33391.27296</v>
      </c>
      <c r="E8" s="49" t="n">
        <f aca="false">E5*E6*12</f>
        <v>34368</v>
      </c>
    </row>
    <row r="9" customFormat="false" ht="19.5" hidden="false" customHeight="true" outlineLevel="0" collapsed="false">
      <c r="B9" s="52" t="s">
        <v>37</v>
      </c>
      <c r="C9" s="53"/>
      <c r="D9" s="53"/>
      <c r="E9" s="53"/>
    </row>
    <row r="10" customFormat="false" ht="19.5" hidden="false" customHeight="true" outlineLevel="0" collapsed="false">
      <c r="C10" s="53"/>
      <c r="D10" s="53"/>
      <c r="E10" s="53"/>
    </row>
    <row r="11" customFormat="false" ht="19.5" hidden="false" customHeight="true" outlineLevel="0" collapsed="false">
      <c r="B11" s="47" t="s">
        <v>38</v>
      </c>
      <c r="C11" s="47"/>
      <c r="E11" s="53"/>
    </row>
    <row r="12" customFormat="false" ht="19.5" hidden="false" customHeight="true" outlineLevel="0" collapsed="false">
      <c r="B12" s="50" t="s">
        <v>39</v>
      </c>
      <c r="C12" s="49" t="n">
        <f aca="false">SUM(C7:E7)</f>
        <v>17412.20608</v>
      </c>
      <c r="E12" s="53"/>
    </row>
    <row r="13" customFormat="false" ht="19.5" hidden="false" customHeight="true" outlineLevel="0" collapsed="false">
      <c r="B13" s="50" t="s">
        <v>40</v>
      </c>
      <c r="C13" s="49" t="n">
        <f aca="false">SUM(C8:E8)</f>
        <v>208946.47296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23"/>
  <sheetViews>
    <sheetView showFormulas="false" showGridLines="fals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P6" activeCellId="0" sqref="AP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false" hidden="false" outlineLevel="0" max="16" min="16" style="17" width="8.38"/>
    <col collapsed="false" customWidth="true" hidden="false" outlineLevel="0" max="17" min="17" style="17" width="33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"/>
    <col collapsed="false" customWidth="true" hidden="false" outlineLevel="0" max="36" min="36" style="17" width="10.62"/>
    <col collapsed="false" customWidth="true" hidden="false" outlineLevel="0" max="40" min="37" style="17" width="11.75"/>
    <col collapsed="false" customWidth="true" hidden="false" outlineLevel="0" max="42" min="41" style="17" width="11.38"/>
    <col collapsed="false" customWidth="true" hidden="false" outlineLevel="0" max="43" min="43" style="17" width="12.88"/>
    <col collapsed="false" customWidth="true" hidden="false" outlineLevel="0" max="44" min="44" style="17" width="3.38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256" min="50" style="17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"&amp;Resumo!B5&amp;" - PLANILHA DE FORMAÇÃO DE PREÇOS"</f>
        <v>BASE BLUMENAU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5" t="str">
        <f aca="false">"BASE "&amp;Resumo!B5&amp;" – PLANILHA DE DISTRIBUIÇÃO DE CUSTOS POR UNIDADE"</f>
        <v>BASE BLUMENAU – PLANILHA DE DISTRIBUIÇÃO DE CUSTOS POR UNIDADE</v>
      </c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57"/>
      <c r="AI2" s="58" t="str">
        <f aca="false">"BASE "&amp;Resumo!B5&amp;" – PLANILHA RESUMO DE CUSTOS DA BASE"</f>
        <v>BASE BLUMENAU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customFormat="false" ht="19.5" hidden="false" customHeight="true" outlineLevel="0" collapsed="false">
      <c r="A4" s="34"/>
      <c r="B4" s="48" t="s">
        <v>41</v>
      </c>
      <c r="C4" s="48" t="s">
        <v>42</v>
      </c>
      <c r="D4" s="48"/>
      <c r="E4" s="48"/>
      <c r="F4" s="48"/>
      <c r="G4" s="48"/>
      <c r="H4" s="48" t="s">
        <v>43</v>
      </c>
      <c r="I4" s="48"/>
      <c r="J4" s="48"/>
      <c r="K4" s="48"/>
      <c r="L4" s="48"/>
      <c r="M4" s="48"/>
      <c r="N4" s="48"/>
      <c r="O4" s="48" t="s">
        <v>28</v>
      </c>
      <c r="P4" s="56"/>
      <c r="Q4" s="48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H4" s="34"/>
      <c r="AI4" s="48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"&amp;Resumo!B5</f>
        <v>Resumo de Custos da Base BLUMENAU</v>
      </c>
      <c r="AT4" s="60"/>
      <c r="AU4" s="60"/>
      <c r="AV4" s="60"/>
      <c r="AW4" s="60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34"/>
      <c r="ML4" s="34"/>
      <c r="MM4" s="34"/>
      <c r="MN4" s="34"/>
      <c r="MO4" s="34"/>
      <c r="MP4" s="34"/>
      <c r="MQ4" s="34"/>
      <c r="MR4" s="34"/>
      <c r="MS4" s="34"/>
      <c r="MT4" s="34"/>
      <c r="MU4" s="34"/>
      <c r="MV4" s="34"/>
      <c r="MW4" s="34"/>
      <c r="MX4" s="34"/>
      <c r="MY4" s="34"/>
      <c r="MZ4" s="34"/>
      <c r="NA4" s="34"/>
      <c r="NB4" s="34"/>
      <c r="NC4" s="34"/>
      <c r="ND4" s="34"/>
      <c r="NE4" s="34"/>
      <c r="NF4" s="34"/>
      <c r="NG4" s="34"/>
      <c r="NH4" s="34"/>
      <c r="NI4" s="34"/>
      <c r="NJ4" s="34"/>
      <c r="NK4" s="34"/>
      <c r="NL4" s="34"/>
      <c r="NM4" s="34"/>
      <c r="NN4" s="34"/>
      <c r="NO4" s="34"/>
      <c r="NP4" s="34"/>
      <c r="NQ4" s="34"/>
      <c r="NR4" s="34"/>
      <c r="NS4" s="34"/>
      <c r="NT4" s="34"/>
      <c r="NU4" s="34"/>
      <c r="NV4" s="34"/>
      <c r="NW4" s="34"/>
      <c r="NX4" s="34"/>
      <c r="NY4" s="34"/>
      <c r="NZ4" s="34"/>
      <c r="OA4" s="34"/>
      <c r="OB4" s="34"/>
      <c r="OC4" s="34"/>
      <c r="OD4" s="34"/>
      <c r="OE4" s="34"/>
      <c r="OF4" s="34"/>
      <c r="OG4" s="34"/>
      <c r="OH4" s="34"/>
      <c r="OI4" s="34"/>
      <c r="OJ4" s="34"/>
      <c r="OK4" s="34"/>
      <c r="OL4" s="34"/>
      <c r="OM4" s="34"/>
      <c r="ON4" s="34"/>
      <c r="OO4" s="34"/>
      <c r="OP4" s="34"/>
      <c r="OQ4" s="34"/>
      <c r="OR4" s="34"/>
      <c r="OS4" s="34"/>
      <c r="OT4" s="34"/>
      <c r="OU4" s="34"/>
      <c r="OV4" s="34"/>
      <c r="OW4" s="34"/>
      <c r="OX4" s="34"/>
      <c r="OY4" s="34"/>
      <c r="OZ4" s="34"/>
      <c r="PA4" s="34"/>
      <c r="PB4" s="34"/>
      <c r="PC4" s="34"/>
      <c r="PD4" s="34"/>
      <c r="PE4" s="34"/>
      <c r="PF4" s="34"/>
      <c r="PG4" s="34"/>
      <c r="PH4" s="34"/>
      <c r="PI4" s="34"/>
      <c r="PJ4" s="34"/>
      <c r="PK4" s="34"/>
      <c r="PL4" s="34"/>
      <c r="PM4" s="34"/>
      <c r="PN4" s="34"/>
      <c r="PO4" s="34"/>
      <c r="PP4" s="34"/>
      <c r="PQ4" s="34"/>
      <c r="PR4" s="34"/>
      <c r="PS4" s="34"/>
      <c r="PT4" s="34"/>
      <c r="PU4" s="34"/>
      <c r="PV4" s="34"/>
      <c r="PW4" s="34"/>
      <c r="PX4" s="34"/>
      <c r="PY4" s="34"/>
      <c r="PZ4" s="34"/>
      <c r="QA4" s="34"/>
      <c r="QB4" s="34"/>
      <c r="QC4" s="34"/>
      <c r="QD4" s="34"/>
      <c r="QE4" s="34"/>
      <c r="QF4" s="34"/>
      <c r="QG4" s="34"/>
      <c r="QH4" s="34"/>
      <c r="QI4" s="34"/>
      <c r="QJ4" s="34"/>
      <c r="QK4" s="34"/>
      <c r="QL4" s="34"/>
      <c r="QM4" s="34"/>
      <c r="QN4" s="34"/>
      <c r="QO4" s="34"/>
      <c r="QP4" s="34"/>
      <c r="QQ4" s="34"/>
      <c r="QR4" s="34"/>
      <c r="QS4" s="34"/>
      <c r="QT4" s="34"/>
      <c r="QU4" s="34"/>
      <c r="QV4" s="34"/>
      <c r="QW4" s="34"/>
      <c r="QX4" s="34"/>
      <c r="QY4" s="34"/>
      <c r="QZ4" s="34"/>
      <c r="RA4" s="34"/>
      <c r="RB4" s="34"/>
      <c r="RC4" s="34"/>
      <c r="RD4" s="34"/>
      <c r="RE4" s="34"/>
      <c r="RF4" s="34"/>
      <c r="RG4" s="34"/>
      <c r="RH4" s="34"/>
      <c r="RI4" s="34"/>
      <c r="RJ4" s="34"/>
      <c r="RK4" s="34"/>
      <c r="RL4" s="34"/>
      <c r="RM4" s="34"/>
      <c r="RN4" s="34"/>
      <c r="RO4" s="34"/>
      <c r="RP4" s="34"/>
      <c r="RQ4" s="34"/>
      <c r="RR4" s="34"/>
      <c r="RS4" s="34"/>
      <c r="RT4" s="34"/>
      <c r="RU4" s="34"/>
      <c r="RV4" s="34"/>
      <c r="RW4" s="34"/>
      <c r="RX4" s="34"/>
      <c r="RY4" s="34"/>
      <c r="RZ4" s="34"/>
      <c r="SA4" s="34"/>
      <c r="SB4" s="34"/>
      <c r="SC4" s="34"/>
      <c r="SD4" s="34"/>
      <c r="SE4" s="34"/>
      <c r="SF4" s="34"/>
      <c r="SG4" s="34"/>
      <c r="SH4" s="34"/>
      <c r="SI4" s="34"/>
      <c r="SJ4" s="34"/>
      <c r="SK4" s="34"/>
      <c r="SL4" s="34"/>
      <c r="SM4" s="34"/>
      <c r="SN4" s="34"/>
      <c r="SO4" s="34"/>
      <c r="SP4" s="34"/>
      <c r="SQ4" s="34"/>
      <c r="SR4" s="34"/>
      <c r="SS4" s="34"/>
      <c r="ST4" s="34"/>
      <c r="SU4" s="34"/>
      <c r="SV4" s="34"/>
      <c r="SW4" s="34"/>
      <c r="SX4" s="34"/>
      <c r="SY4" s="34"/>
      <c r="SZ4" s="34"/>
      <c r="TA4" s="34"/>
      <c r="TB4" s="34"/>
      <c r="TC4" s="34"/>
      <c r="TD4" s="34"/>
      <c r="TE4" s="34"/>
      <c r="TF4" s="34"/>
      <c r="TG4" s="34"/>
      <c r="TH4" s="34"/>
      <c r="TI4" s="34"/>
      <c r="TJ4" s="34"/>
      <c r="TK4" s="34"/>
      <c r="TL4" s="34"/>
      <c r="TM4" s="34"/>
      <c r="TN4" s="34"/>
      <c r="TO4" s="34"/>
      <c r="TP4" s="34"/>
      <c r="TQ4" s="34"/>
      <c r="TR4" s="34"/>
      <c r="TS4" s="34"/>
      <c r="TT4" s="34"/>
      <c r="TU4" s="34"/>
      <c r="TV4" s="34"/>
      <c r="TW4" s="34"/>
      <c r="TX4" s="34"/>
      <c r="TY4" s="34"/>
      <c r="TZ4" s="34"/>
      <c r="UA4" s="34"/>
      <c r="UB4" s="34"/>
      <c r="UC4" s="34"/>
      <c r="UD4" s="34"/>
      <c r="UE4" s="34"/>
      <c r="UF4" s="34"/>
      <c r="UG4" s="34"/>
      <c r="UH4" s="34"/>
      <c r="UI4" s="34"/>
      <c r="UJ4" s="34"/>
      <c r="UK4" s="34"/>
      <c r="UL4" s="34"/>
      <c r="UM4" s="34"/>
      <c r="UN4" s="34"/>
      <c r="UO4" s="34"/>
      <c r="UP4" s="34"/>
      <c r="UQ4" s="34"/>
      <c r="UR4" s="34"/>
      <c r="US4" s="34"/>
      <c r="UT4" s="34"/>
      <c r="UU4" s="34"/>
      <c r="UV4" s="34"/>
      <c r="UW4" s="34"/>
      <c r="UX4" s="34"/>
      <c r="UY4" s="34"/>
      <c r="UZ4" s="34"/>
      <c r="VA4" s="34"/>
      <c r="VB4" s="34"/>
      <c r="VC4" s="34"/>
      <c r="VD4" s="34"/>
      <c r="VE4" s="34"/>
      <c r="VF4" s="34"/>
      <c r="VG4" s="34"/>
      <c r="VH4" s="34"/>
      <c r="VI4" s="34"/>
      <c r="VJ4" s="34"/>
      <c r="VK4" s="34"/>
      <c r="VL4" s="34"/>
      <c r="VM4" s="34"/>
      <c r="VN4" s="34"/>
      <c r="VO4" s="34"/>
      <c r="VP4" s="34"/>
      <c r="VQ4" s="34"/>
      <c r="VR4" s="34"/>
      <c r="VS4" s="34"/>
      <c r="VT4" s="34"/>
      <c r="VU4" s="34"/>
      <c r="VV4" s="34"/>
      <c r="VW4" s="34"/>
      <c r="VX4" s="34"/>
      <c r="VY4" s="34"/>
      <c r="VZ4" s="34"/>
      <c r="WA4" s="34"/>
      <c r="WB4" s="34"/>
      <c r="WC4" s="34"/>
      <c r="WD4" s="34"/>
      <c r="WE4" s="34"/>
      <c r="WF4" s="34"/>
      <c r="WG4" s="34"/>
      <c r="WH4" s="34"/>
      <c r="WI4" s="34"/>
      <c r="WJ4" s="34"/>
      <c r="WK4" s="34"/>
      <c r="WL4" s="34"/>
      <c r="WM4" s="34"/>
      <c r="WN4" s="34"/>
      <c r="WO4" s="34"/>
      <c r="WP4" s="34"/>
      <c r="WQ4" s="34"/>
      <c r="WR4" s="34"/>
      <c r="WS4" s="34"/>
      <c r="WT4" s="34"/>
      <c r="WU4" s="34"/>
      <c r="WV4" s="34"/>
      <c r="WW4" s="34"/>
      <c r="WX4" s="34"/>
      <c r="WY4" s="34"/>
      <c r="WZ4" s="34"/>
      <c r="XA4" s="34"/>
      <c r="XB4" s="34"/>
      <c r="XC4" s="34"/>
      <c r="XD4" s="34"/>
      <c r="XE4" s="34"/>
      <c r="XF4" s="34"/>
      <c r="XG4" s="34"/>
      <c r="XH4" s="34"/>
      <c r="XI4" s="34"/>
      <c r="XJ4" s="34"/>
      <c r="XK4" s="34"/>
      <c r="XL4" s="34"/>
      <c r="XM4" s="34"/>
      <c r="XN4" s="34"/>
      <c r="XO4" s="34"/>
      <c r="XP4" s="34"/>
      <c r="XQ4" s="34"/>
      <c r="XR4" s="34"/>
      <c r="XS4" s="34"/>
      <c r="XT4" s="34"/>
      <c r="XU4" s="34"/>
      <c r="XV4" s="34"/>
      <c r="XW4" s="34"/>
      <c r="XX4" s="34"/>
      <c r="XY4" s="34"/>
      <c r="XZ4" s="34"/>
      <c r="YA4" s="34"/>
      <c r="YB4" s="34"/>
      <c r="YC4" s="34"/>
      <c r="YD4" s="34"/>
      <c r="YE4" s="34"/>
      <c r="YF4" s="34"/>
      <c r="YG4" s="34"/>
      <c r="YH4" s="34"/>
      <c r="YI4" s="34"/>
      <c r="YJ4" s="34"/>
      <c r="YK4" s="34"/>
      <c r="YL4" s="34"/>
      <c r="YM4" s="34"/>
      <c r="YN4" s="34"/>
      <c r="YO4" s="34"/>
      <c r="YP4" s="34"/>
      <c r="YQ4" s="34"/>
      <c r="YR4" s="34"/>
      <c r="YS4" s="34"/>
      <c r="YT4" s="34"/>
      <c r="YU4" s="34"/>
      <c r="YV4" s="34"/>
      <c r="YW4" s="34"/>
      <c r="YX4" s="34"/>
      <c r="YY4" s="34"/>
      <c r="YZ4" s="34"/>
      <c r="ZA4" s="34"/>
      <c r="ZB4" s="34"/>
      <c r="ZC4" s="34"/>
      <c r="ZD4" s="34"/>
      <c r="ZE4" s="34"/>
      <c r="ZF4" s="34"/>
      <c r="ZG4" s="34"/>
      <c r="ZH4" s="34"/>
      <c r="ZI4" s="34"/>
      <c r="ZJ4" s="34"/>
      <c r="ZK4" s="34"/>
      <c r="ZL4" s="34"/>
      <c r="ZM4" s="34"/>
      <c r="ZN4" s="34"/>
      <c r="ZO4" s="34"/>
      <c r="ZP4" s="34"/>
      <c r="ZQ4" s="34"/>
      <c r="ZR4" s="34"/>
      <c r="ZS4" s="34"/>
      <c r="ZT4" s="34"/>
      <c r="ZU4" s="34"/>
      <c r="ZV4" s="34"/>
      <c r="ZW4" s="34"/>
      <c r="ZX4" s="34"/>
      <c r="ZY4" s="34"/>
      <c r="ZZ4" s="34"/>
      <c r="AAA4" s="34"/>
      <c r="AAB4" s="34"/>
      <c r="AAC4" s="34"/>
      <c r="AAD4" s="34"/>
      <c r="AAE4" s="34"/>
      <c r="AAF4" s="34"/>
      <c r="AAG4" s="34"/>
      <c r="AAH4" s="34"/>
      <c r="AAI4" s="34"/>
      <c r="AAJ4" s="34"/>
      <c r="AAK4" s="34"/>
      <c r="AAL4" s="34"/>
      <c r="AAM4" s="34"/>
      <c r="AAN4" s="34"/>
      <c r="AAO4" s="34"/>
      <c r="AAP4" s="34"/>
      <c r="AAQ4" s="34"/>
      <c r="AAR4" s="34"/>
      <c r="AAS4" s="34"/>
      <c r="AAT4" s="34"/>
      <c r="AAU4" s="34"/>
      <c r="AAV4" s="34"/>
      <c r="AAW4" s="34"/>
      <c r="AAX4" s="34"/>
      <c r="AAY4" s="34"/>
      <c r="AAZ4" s="34"/>
      <c r="ABA4" s="34"/>
      <c r="ABB4" s="34"/>
      <c r="ABC4" s="34"/>
      <c r="ABD4" s="34"/>
      <c r="ABE4" s="34"/>
      <c r="ABF4" s="34"/>
      <c r="ABG4" s="34"/>
      <c r="ABH4" s="34"/>
      <c r="ABI4" s="34"/>
      <c r="ABJ4" s="34"/>
      <c r="ABK4" s="34"/>
      <c r="ABL4" s="34"/>
      <c r="ABM4" s="34"/>
      <c r="ABN4" s="34"/>
      <c r="ABO4" s="34"/>
      <c r="ABP4" s="34"/>
      <c r="ABQ4" s="34"/>
      <c r="ABR4" s="34"/>
      <c r="ABS4" s="34"/>
      <c r="ABT4" s="34"/>
      <c r="ABU4" s="34"/>
      <c r="ABV4" s="34"/>
      <c r="ABW4" s="34"/>
      <c r="ABX4" s="34"/>
      <c r="ABY4" s="34"/>
      <c r="ABZ4" s="34"/>
      <c r="ACA4" s="34"/>
      <c r="ACB4" s="34"/>
      <c r="ACC4" s="34"/>
      <c r="ACD4" s="34"/>
      <c r="ACE4" s="34"/>
      <c r="ACF4" s="34"/>
      <c r="ACG4" s="34"/>
      <c r="ACH4" s="34"/>
      <c r="ACI4" s="34"/>
      <c r="ACJ4" s="34"/>
      <c r="ACK4" s="34"/>
      <c r="ACL4" s="34"/>
      <c r="ACM4" s="34"/>
      <c r="ACN4" s="34"/>
      <c r="ACO4" s="34"/>
      <c r="ACP4" s="34"/>
      <c r="ACQ4" s="34"/>
      <c r="ACR4" s="34"/>
      <c r="ACS4" s="34"/>
      <c r="ACT4" s="34"/>
      <c r="ACU4" s="34"/>
      <c r="ACV4" s="34"/>
      <c r="ACW4" s="34"/>
      <c r="ACX4" s="34"/>
      <c r="ACY4" s="34"/>
      <c r="ACZ4" s="34"/>
      <c r="ADA4" s="34"/>
      <c r="ADB4" s="34"/>
      <c r="ADC4" s="34"/>
      <c r="ADD4" s="34"/>
      <c r="ADE4" s="34"/>
      <c r="ADF4" s="34"/>
      <c r="ADG4" s="34"/>
      <c r="ADH4" s="34"/>
      <c r="ADI4" s="34"/>
      <c r="ADJ4" s="34"/>
      <c r="ADK4" s="34"/>
      <c r="ADL4" s="34"/>
      <c r="ADM4" s="34"/>
      <c r="ADN4" s="34"/>
      <c r="ADO4" s="34"/>
      <c r="ADP4" s="34"/>
      <c r="ADQ4" s="34"/>
      <c r="ADR4" s="34"/>
      <c r="ADS4" s="34"/>
      <c r="ADT4" s="34"/>
      <c r="ADU4" s="34"/>
      <c r="ADV4" s="34"/>
      <c r="ADW4" s="34"/>
      <c r="ADX4" s="34"/>
      <c r="ADY4" s="34"/>
      <c r="ADZ4" s="34"/>
      <c r="AEA4" s="34"/>
      <c r="AEB4" s="34"/>
      <c r="AEC4" s="34"/>
      <c r="AED4" s="34"/>
      <c r="AEE4" s="34"/>
      <c r="AEF4" s="34"/>
      <c r="AEG4" s="34"/>
      <c r="AEH4" s="34"/>
      <c r="AEI4" s="34"/>
      <c r="AEJ4" s="34"/>
      <c r="AEK4" s="34"/>
      <c r="AEL4" s="34"/>
      <c r="AEM4" s="34"/>
      <c r="AEN4" s="34"/>
      <c r="AEO4" s="34"/>
      <c r="AEP4" s="34"/>
      <c r="AEQ4" s="34"/>
      <c r="AER4" s="34"/>
      <c r="AES4" s="34"/>
      <c r="AET4" s="34"/>
      <c r="AEU4" s="34"/>
      <c r="AEV4" s="34"/>
      <c r="AEW4" s="34"/>
      <c r="AEX4" s="34"/>
      <c r="AEY4" s="34"/>
      <c r="AEZ4" s="34"/>
      <c r="AFA4" s="34"/>
      <c r="AFB4" s="34"/>
      <c r="AFC4" s="34"/>
      <c r="AFD4" s="34"/>
      <c r="AFE4" s="34"/>
      <c r="AFF4" s="34"/>
      <c r="AFG4" s="34"/>
      <c r="AFH4" s="34"/>
      <c r="AFI4" s="34"/>
      <c r="AFJ4" s="34"/>
      <c r="AFK4" s="34"/>
      <c r="AFL4" s="34"/>
      <c r="AFM4" s="34"/>
      <c r="AFN4" s="34"/>
      <c r="AFO4" s="34"/>
      <c r="AFP4" s="34"/>
      <c r="AFQ4" s="34"/>
      <c r="AFR4" s="34"/>
      <c r="AFS4" s="34"/>
      <c r="AFT4" s="34"/>
      <c r="AFU4" s="34"/>
      <c r="AFV4" s="34"/>
      <c r="AFW4" s="34"/>
      <c r="AFX4" s="34"/>
      <c r="AFY4" s="34"/>
      <c r="AFZ4" s="34"/>
      <c r="AGA4" s="34"/>
      <c r="AGB4" s="34"/>
      <c r="AGC4" s="34"/>
      <c r="AGD4" s="34"/>
      <c r="AGE4" s="34"/>
      <c r="AGF4" s="34"/>
      <c r="AGG4" s="34"/>
      <c r="AGH4" s="34"/>
      <c r="AGI4" s="34"/>
      <c r="AGJ4" s="34"/>
      <c r="AGK4" s="34"/>
      <c r="AGL4" s="34"/>
      <c r="AGM4" s="34"/>
      <c r="AGN4" s="34"/>
      <c r="AGO4" s="34"/>
      <c r="AGP4" s="34"/>
      <c r="AGQ4" s="34"/>
      <c r="AGR4" s="34"/>
      <c r="AGS4" s="34"/>
      <c r="AGT4" s="34"/>
      <c r="AGU4" s="34"/>
      <c r="AGV4" s="34"/>
      <c r="AGW4" s="34"/>
      <c r="AGX4" s="34"/>
      <c r="AGY4" s="34"/>
      <c r="AGZ4" s="34"/>
      <c r="AHA4" s="34"/>
      <c r="AHB4" s="34"/>
      <c r="AHC4" s="34"/>
      <c r="AHD4" s="34"/>
      <c r="AHE4" s="34"/>
      <c r="AHF4" s="34"/>
      <c r="AHG4" s="34"/>
      <c r="AHH4" s="34"/>
      <c r="AHI4" s="34"/>
      <c r="AHJ4" s="34"/>
      <c r="AHK4" s="34"/>
      <c r="AHL4" s="34"/>
      <c r="AHM4" s="34"/>
      <c r="AHN4" s="34"/>
      <c r="AHO4" s="34"/>
      <c r="AHP4" s="34"/>
      <c r="AHQ4" s="34"/>
      <c r="AHR4" s="34"/>
      <c r="AHS4" s="34"/>
      <c r="AHT4" s="34"/>
      <c r="AHU4" s="34"/>
      <c r="AHV4" s="34"/>
      <c r="AHW4" s="34"/>
      <c r="AHX4" s="34"/>
      <c r="AHY4" s="34"/>
      <c r="AHZ4" s="34"/>
      <c r="AIA4" s="34"/>
      <c r="AIB4" s="34"/>
      <c r="AIC4" s="34"/>
      <c r="AID4" s="34"/>
      <c r="AIE4" s="34"/>
      <c r="AIF4" s="34"/>
      <c r="AIG4" s="34"/>
      <c r="AIH4" s="34"/>
      <c r="AII4" s="34"/>
      <c r="AIJ4" s="34"/>
      <c r="AIK4" s="34"/>
      <c r="AIL4" s="34"/>
      <c r="AIM4" s="34"/>
      <c r="AIN4" s="34"/>
      <c r="AIO4" s="34"/>
      <c r="AIP4" s="34"/>
      <c r="AIQ4" s="34"/>
      <c r="AIR4" s="34"/>
      <c r="AIS4" s="34"/>
      <c r="AIT4" s="34"/>
      <c r="AIU4" s="34"/>
      <c r="AIV4" s="34"/>
      <c r="AIW4" s="34"/>
      <c r="AIX4" s="34"/>
      <c r="AIY4" s="34"/>
      <c r="AIZ4" s="34"/>
      <c r="AJA4" s="34"/>
      <c r="AJB4" s="34"/>
      <c r="AJC4" s="34"/>
      <c r="AJD4" s="34"/>
      <c r="AJE4" s="34"/>
      <c r="AJF4" s="34"/>
      <c r="AJG4" s="34"/>
      <c r="AJH4" s="34"/>
      <c r="AJI4" s="34"/>
      <c r="AJJ4" s="34"/>
      <c r="AJK4" s="34"/>
      <c r="AJL4" s="34"/>
      <c r="AJM4" s="34"/>
      <c r="AJN4" s="34"/>
      <c r="AJO4" s="34"/>
      <c r="AJP4" s="34"/>
      <c r="AJQ4" s="34"/>
      <c r="AJR4" s="34"/>
      <c r="AJS4" s="34"/>
      <c r="AJT4" s="34"/>
      <c r="AJU4" s="34"/>
      <c r="AJV4" s="34"/>
      <c r="AJW4" s="34"/>
      <c r="AJX4" s="34"/>
      <c r="AJY4" s="34"/>
      <c r="AJZ4" s="34"/>
      <c r="AKA4" s="34"/>
      <c r="AKB4" s="34"/>
      <c r="AKC4" s="34"/>
      <c r="AKD4" s="34"/>
      <c r="AKE4" s="34"/>
      <c r="AKF4" s="34"/>
      <c r="AKG4" s="34"/>
      <c r="AKH4" s="34"/>
      <c r="AKI4" s="34"/>
      <c r="AKJ4" s="34"/>
      <c r="AKK4" s="34"/>
      <c r="AKL4" s="34"/>
      <c r="AKM4" s="34"/>
      <c r="AKN4" s="34"/>
      <c r="AKO4" s="34"/>
      <c r="AKP4" s="34"/>
      <c r="AKQ4" s="34"/>
      <c r="AKR4" s="34"/>
      <c r="AKS4" s="34"/>
      <c r="AKT4" s="34"/>
      <c r="AKU4" s="34"/>
      <c r="AKV4" s="34"/>
      <c r="AKW4" s="34"/>
      <c r="AKX4" s="34"/>
      <c r="AKY4" s="34"/>
      <c r="AKZ4" s="34"/>
      <c r="ALA4" s="34"/>
      <c r="ALB4" s="34"/>
      <c r="ALC4" s="34"/>
      <c r="ALD4" s="34"/>
      <c r="ALE4" s="34"/>
      <c r="ALF4" s="34"/>
      <c r="ALG4" s="34"/>
      <c r="ALH4" s="34"/>
      <c r="ALI4" s="34"/>
      <c r="ALJ4" s="34"/>
      <c r="ALK4" s="34"/>
      <c r="ALL4" s="34"/>
      <c r="ALM4" s="34"/>
      <c r="ALN4" s="34"/>
      <c r="ALO4" s="34"/>
      <c r="ALP4" s="34"/>
      <c r="ALQ4" s="34"/>
      <c r="ALR4" s="34"/>
      <c r="ALS4" s="34"/>
      <c r="ALT4" s="34"/>
      <c r="ALU4" s="34"/>
      <c r="ALV4" s="34"/>
      <c r="ALW4" s="34"/>
      <c r="ALX4" s="34"/>
    </row>
    <row r="5" customFormat="false" ht="39.75" hidden="false" customHeight="true" outlineLevel="0" collapsed="false">
      <c r="B5" s="48"/>
      <c r="C5" s="48" t="s">
        <v>28</v>
      </c>
      <c r="D5" s="48" t="s">
        <v>51</v>
      </c>
      <c r="E5" s="48" t="s">
        <v>52</v>
      </c>
      <c r="F5" s="48" t="s">
        <v>53</v>
      </c>
      <c r="G5" s="48" t="s">
        <v>54</v>
      </c>
      <c r="H5" s="48" t="s">
        <v>55</v>
      </c>
      <c r="I5" s="48" t="s">
        <v>56</v>
      </c>
      <c r="J5" s="48" t="s">
        <v>57</v>
      </c>
      <c r="K5" s="48" t="s">
        <v>58</v>
      </c>
      <c r="L5" s="48" t="s">
        <v>59</v>
      </c>
      <c r="M5" s="48" t="s">
        <v>60</v>
      </c>
      <c r="N5" s="48" t="s">
        <v>61</v>
      </c>
      <c r="O5" s="48"/>
      <c r="P5" s="56"/>
      <c r="Q5" s="48"/>
      <c r="R5" s="48" t="s">
        <v>62</v>
      </c>
      <c r="S5" s="48" t="s">
        <v>63</v>
      </c>
      <c r="T5" s="48" t="s">
        <v>64</v>
      </c>
      <c r="U5" s="48" t="s">
        <v>65</v>
      </c>
      <c r="V5" s="48" t="s">
        <v>66</v>
      </c>
      <c r="W5" s="48" t="s">
        <v>67</v>
      </c>
      <c r="X5" s="48" t="s">
        <v>68</v>
      </c>
      <c r="Y5" s="48" t="s">
        <v>69</v>
      </c>
      <c r="Z5" s="48" t="s">
        <v>70</v>
      </c>
      <c r="AA5" s="48"/>
      <c r="AB5" s="48"/>
      <c r="AC5" s="48" t="n">
        <f aca="false">N18+'Base Joinville'!N16</f>
        <v>777.5</v>
      </c>
      <c r="AD5" s="59" t="s">
        <v>62</v>
      </c>
      <c r="AE5" s="59" t="s">
        <v>63</v>
      </c>
      <c r="AF5" s="59" t="s">
        <v>64</v>
      </c>
      <c r="AG5" s="59" t="s">
        <v>65</v>
      </c>
      <c r="AI5" s="48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8"/>
      <c r="C6" s="62" t="s">
        <v>76</v>
      </c>
      <c r="D6" s="62" t="n">
        <v>1</v>
      </c>
      <c r="E6" s="62" t="n">
        <v>0.35</v>
      </c>
      <c r="F6" s="62" t="n">
        <v>0.1</v>
      </c>
      <c r="G6" s="48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8"/>
      <c r="O6" s="48"/>
      <c r="P6" s="63"/>
      <c r="Q6" s="48"/>
      <c r="R6" s="62" t="s">
        <v>77</v>
      </c>
      <c r="S6" s="62" t="s">
        <v>78</v>
      </c>
      <c r="T6" s="62" t="s">
        <v>79</v>
      </c>
      <c r="U6" s="62" t="s">
        <v>80</v>
      </c>
      <c r="V6" s="48"/>
      <c r="W6" s="48"/>
      <c r="X6" s="48"/>
      <c r="Y6" s="48"/>
      <c r="Z6" s="36" t="s">
        <v>62</v>
      </c>
      <c r="AA6" s="36" t="s">
        <v>63</v>
      </c>
      <c r="AB6" s="36" t="s">
        <v>64</v>
      </c>
      <c r="AC6" s="36" t="s">
        <v>65</v>
      </c>
      <c r="AD6" s="59"/>
      <c r="AE6" s="59"/>
      <c r="AF6" s="59"/>
      <c r="AG6" s="59"/>
      <c r="AI6" s="48"/>
      <c r="AJ6" s="59"/>
      <c r="AK6" s="59"/>
      <c r="AL6" s="59"/>
      <c r="AM6" s="59"/>
      <c r="AN6" s="59"/>
      <c r="AO6" s="59"/>
      <c r="AP6" s="59" t="n">
        <f aca="false">72.5/27.5</f>
        <v>2.63636363636364</v>
      </c>
      <c r="AQ6" s="59"/>
      <c r="AR6" s="64"/>
      <c r="AS6" s="59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A7" s="2"/>
      <c r="B7" s="65" t="s">
        <v>81</v>
      </c>
      <c r="C7" s="66" t="n">
        <f aca="false">VLOOKUP($B7,Unidades!$D$5:$N$24,6,FALSE())</f>
        <v>557.17</v>
      </c>
      <c r="D7" s="66" t="n">
        <f aca="false">VLOOKUP($B7,Unidades!$D$5:$N$24,7,FALSE())</f>
        <v>516.32</v>
      </c>
      <c r="E7" s="66" t="n">
        <f aca="false">VLOOKUP($B7,Unidades!$D$5:$N$24,8,FALSE())</f>
        <v>40.85</v>
      </c>
      <c r="F7" s="66" t="n">
        <f aca="false">VLOOKUP($B7,Unidades!$D$5:$N$24,9,FALSE())</f>
        <v>0</v>
      </c>
      <c r="G7" s="66" t="n">
        <f aca="false">D7+E7*$E$6+F7*$F$6</f>
        <v>530.6175</v>
      </c>
      <c r="H7" s="67" t="n">
        <f aca="false">IF(G7&lt;750,1.5,IF(G7&lt;2000,2,IF(G7&lt;4000,3,12)))</f>
        <v>1.5</v>
      </c>
      <c r="I7" s="67" t="n">
        <f aca="false">$I$6*H7</f>
        <v>1.8</v>
      </c>
      <c r="J7" s="67" t="str">
        <f aca="false">VLOOKUP($B7,Unidades!$D$5:$N$24,10,FALSE())</f>
        <v>SIM</v>
      </c>
      <c r="K7" s="67" t="str">
        <f aca="false">VLOOKUP($B7,Unidades!$D$5:$N$24,11,FALSE())</f>
        <v>NÃO</v>
      </c>
      <c r="L7" s="67" t="n">
        <f aca="false">$L$6*H7+(IF(J7="SIM",$J$6,0))</f>
        <v>3.65</v>
      </c>
      <c r="M7" s="67" t="n">
        <f aca="false">$M$6*H7+(IF(J7="SIM",$J$6,0))+(IF(K7="SIM",$K$6,0))</f>
        <v>3.65</v>
      </c>
      <c r="N7" s="67" t="n">
        <f aca="false">H7*12+I7*4+L7*2+M7</f>
        <v>36.15</v>
      </c>
      <c r="O7" s="68" t="n">
        <f aca="false">IF(K7="não", N7*(C$21+D$21),N7*(C$21+D$21)+(M7*+E$21))</f>
        <v>2169.01446</v>
      </c>
      <c r="P7" s="69"/>
      <c r="Q7" s="23" t="str">
        <f aca="false">B7</f>
        <v>APS BALNEÁRIO CAMBORIÚ</v>
      </c>
      <c r="R7" s="25" t="n">
        <f aca="false">H7*($C$21+$D$21)</f>
        <v>90.0006</v>
      </c>
      <c r="S7" s="25" t="n">
        <f aca="false">I7*($C$21+$D$21)</f>
        <v>108.00072</v>
      </c>
      <c r="T7" s="25" t="n">
        <f aca="false">L7*($C$21+$D$21)</f>
        <v>219.00146</v>
      </c>
      <c r="U7" s="25" t="n">
        <f aca="false">IF(K7="não",M7*($C$21+$D$21),M7*(C$21+D$21+E$21))</f>
        <v>219.00146</v>
      </c>
      <c r="V7" s="25" t="n">
        <f aca="false">VLOOKUP(Q7,'Desl. Base Blumenau'!$C$5:$S$15,13,FALSE())*($C$21+$D$21+$E$21*(VLOOKUP(Q7,'Desl. Base Blumenau'!$C$5:$S$15,17,FALSE())/12))</f>
        <v>75.5005033333333</v>
      </c>
      <c r="W7" s="25" t="n">
        <f aca="false">VLOOKUP(Q7,'Desl. Base Blumenau'!$C$5:$S$15,15,FALSE())*(2+(VLOOKUP(Q7,'Desl. Base Blumenau'!$C$5:$S$15,17,FALSE())/12))</f>
        <v>0</v>
      </c>
      <c r="X7" s="25" t="n">
        <f aca="false">VLOOKUP(Q7,'Desl. Base Blumenau'!$C$5:$Q$15,14,FALSE())</f>
        <v>0</v>
      </c>
      <c r="Y7" s="25" t="n">
        <f aca="false">VLOOKUP(Q7,'Desl. Base Blumenau'!$C$5:$Q$15,13,FALSE())*'Desl. Base Blumenau'!$E$20+'Desl. Base Blumenau'!$E$21*N7/12</f>
        <v>88.2530833333333</v>
      </c>
      <c r="Z7" s="25" t="n">
        <f aca="false">(H7/$AC$5)*'Equipe Técnica'!$C$13</f>
        <v>403.112166482315</v>
      </c>
      <c r="AA7" s="25" t="n">
        <f aca="false">(I7/$AC$5)*'Equipe Técnica'!$C$13</f>
        <v>483.734599778778</v>
      </c>
      <c r="AB7" s="25" t="n">
        <f aca="false">(L7/$AC$5)*'Equipe Técnica'!$C$13</f>
        <v>980.906271773634</v>
      </c>
      <c r="AC7" s="25" t="n">
        <f aca="false">(M7/$AC$5)*'Equipe Técnica'!$C$13</f>
        <v>980.906271773634</v>
      </c>
      <c r="AD7" s="25" t="n">
        <f aca="false">R7+(($V7+$W7+$X7+$Y7)*12/19)+$Z7</f>
        <v>596.536084377052</v>
      </c>
      <c r="AE7" s="25" t="n">
        <f aca="false">S7+(($V7+$W7+$X7+$Y7)*12/19)+$AA7</f>
        <v>695.158637673515</v>
      </c>
      <c r="AF7" s="25" t="n">
        <f aca="false">T7+(($V7+$W7+$X7+$Y7)*12/19)+$AB7</f>
        <v>1303.33104966837</v>
      </c>
      <c r="AG7" s="25" t="n">
        <f aca="false">U7+(($V7+$W7+$X7+$Y7)*12/19)+$AC7</f>
        <v>1303.33104966837</v>
      </c>
      <c r="AH7" s="2"/>
      <c r="AI7" s="23" t="str">
        <f aca="false">B7</f>
        <v>APS BALNEÁRIO CAMBORIÚ</v>
      </c>
      <c r="AJ7" s="70" t="n">
        <f aca="false">VLOOKUP(AI7,Unidades!D$5:H$24,5,)</f>
        <v>0.2354</v>
      </c>
      <c r="AK7" s="49" t="n">
        <f aca="false">AD7*(1+$AJ7)</f>
        <v>736.96067863941</v>
      </c>
      <c r="AL7" s="49" t="n">
        <f aca="false">AE7*(1+$AJ7)</f>
        <v>858.79898098186</v>
      </c>
      <c r="AM7" s="49" t="n">
        <f aca="false">AF7*(1+$AJ7)</f>
        <v>1610.1351787603</v>
      </c>
      <c r="AN7" s="49" t="n">
        <f aca="false">AG7*(1+$AJ7)</f>
        <v>1610.1351787603</v>
      </c>
      <c r="AO7" s="49" t="n">
        <f aca="false">((AK7*12)+(AL7*4)+(AM7*2)+AN7)/12</f>
        <v>1425.76080032344</v>
      </c>
      <c r="AP7" s="49" t="n">
        <f aca="false">AO7*$AP$6</f>
        <v>3758.82392812543</v>
      </c>
      <c r="AQ7" s="49" t="n">
        <f aca="false">AO7+AP7</f>
        <v>5184.58472844887</v>
      </c>
      <c r="AR7" s="71"/>
      <c r="AS7" s="72" t="s">
        <v>82</v>
      </c>
      <c r="AT7" s="49" t="n">
        <f aca="false">AK18</f>
        <v>8705.25568046753</v>
      </c>
      <c r="AU7" s="49" t="n">
        <f aca="false">AL18</f>
        <v>10210.2950173035</v>
      </c>
      <c r="AV7" s="49" t="n">
        <f aca="false">AM18</f>
        <v>12720.2751603014</v>
      </c>
      <c r="AW7" s="49" t="n">
        <f aca="false">AN18</f>
        <v>18587.2532705824</v>
      </c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</row>
    <row r="8" customFormat="false" ht="15" hidden="false" customHeight="true" outlineLevel="0" collapsed="false">
      <c r="A8" s="2"/>
      <c r="B8" s="65" t="s">
        <v>83</v>
      </c>
      <c r="C8" s="66" t="n">
        <f aca="false">VLOOKUP($B8,Unidades!$D$5:$N$24,6,FALSE())</f>
        <v>1027.72</v>
      </c>
      <c r="D8" s="66" t="n">
        <f aca="false">VLOOKUP($B8,Unidades!$D$5:$N$24,7,FALSE())</f>
        <v>807.3</v>
      </c>
      <c r="E8" s="66" t="n">
        <f aca="false">VLOOKUP($B8,Unidades!$D$5:$N$24,8,FALSE())</f>
        <v>220.42</v>
      </c>
      <c r="F8" s="66" t="n">
        <f aca="false">VLOOKUP($B8,Unidades!$D$5:$N$24,9,FALSE())</f>
        <v>0</v>
      </c>
      <c r="G8" s="66" t="n">
        <f aca="false">D8+E8*$E$6+F8*$F$6</f>
        <v>884.447</v>
      </c>
      <c r="H8" s="67" t="n">
        <f aca="false">IF(G8&lt;750,1.5,IF(G8&lt;2000,2,IF(G8&lt;4000,3,12)))</f>
        <v>2</v>
      </c>
      <c r="I8" s="67" t="n">
        <f aca="false">$I$6*H8</f>
        <v>2.4</v>
      </c>
      <c r="J8" s="67" t="str">
        <f aca="false">VLOOKUP($B8,Unidades!$D$5:$N$24,10,FALSE())</f>
        <v>SIM</v>
      </c>
      <c r="K8" s="67" t="str">
        <f aca="false">VLOOKUP($B8,Unidades!$D$5:$N$24,11,FALSE())</f>
        <v>NÃO</v>
      </c>
      <c r="L8" s="67" t="n">
        <f aca="false">$L$6*H8+(IF(J8="SIM",$J$6,0))</f>
        <v>4.2</v>
      </c>
      <c r="M8" s="67" t="n">
        <f aca="false">$M$6*H8+(IF(J8="SIM",$J$6,0))+(IF(K8="SIM",$K$6,0))</f>
        <v>4.2</v>
      </c>
      <c r="N8" s="67" t="n">
        <f aca="false">H8*12+I8*4+L8*2+M8</f>
        <v>46.2</v>
      </c>
      <c r="O8" s="68" t="n">
        <f aca="false">IF(K8="não", N8*(C$21+D$21),N8*(C$21+D$21)+(M8*+E$21))</f>
        <v>2772.01848</v>
      </c>
      <c r="P8" s="69"/>
      <c r="Q8" s="23" t="str">
        <f aca="false">B8</f>
        <v>APS BRUSQUE</v>
      </c>
      <c r="R8" s="25" t="n">
        <f aca="false">H8*($C$21+$D$21)</f>
        <v>120.0008</v>
      </c>
      <c r="S8" s="25" t="n">
        <f aca="false">I8*($C$21+$D$21)</f>
        <v>144.00096</v>
      </c>
      <c r="T8" s="25" t="n">
        <f aca="false">L8*($C$21+$D$21)</f>
        <v>252.00168</v>
      </c>
      <c r="U8" s="25" t="n">
        <f aca="false">IF(K8="não",M8*($C$21+$D$21),M8*(C$21+D$21+E$21))</f>
        <v>252.00168</v>
      </c>
      <c r="V8" s="25" t="n">
        <f aca="false">VLOOKUP(Q8,'Desl. Base Blumenau'!$C$5:$S$15,13,FALSE())*($C$21+$D$21+$E$21*(VLOOKUP(Q8,'Desl. Base Blumenau'!$C$5:$S$15,17,FALSE())/12))</f>
        <v>75.5005033333333</v>
      </c>
      <c r="W8" s="25" t="n">
        <f aca="false">VLOOKUP(Q8,'Desl. Base Blumenau'!$C$5:$S$15,15,FALSE())*(2+(VLOOKUP(Q8,'Desl. Base Blumenau'!$C$5:$S$15,17,FALSE())/12))</f>
        <v>0</v>
      </c>
      <c r="X8" s="25" t="n">
        <f aca="false">VLOOKUP(Q8,'Desl. Base Blumenau'!$C$5:$Q$15,14,FALSE())</f>
        <v>0</v>
      </c>
      <c r="Y8" s="25" t="n">
        <f aca="false">VLOOKUP(Q8,'Desl. Base Blumenau'!$C$5:$Q$15,13,FALSE())*'Desl. Base Blumenau'!$E$20+'Desl. Base Blumenau'!$E$21*N8/12</f>
        <v>93.7470833333333</v>
      </c>
      <c r="Z8" s="25" t="n">
        <f aca="false">(H8/$AC$5)*'Equipe Técnica'!$C$13</f>
        <v>537.482888643087</v>
      </c>
      <c r="AA8" s="25" t="n">
        <f aca="false">(I8/$AC$5)*'Equipe Técnica'!$C$13</f>
        <v>644.979466371704</v>
      </c>
      <c r="AB8" s="25" t="n">
        <f aca="false">(L8/$AC$5)*'Equipe Técnica'!$C$13</f>
        <v>1128.71406615048</v>
      </c>
      <c r="AC8" s="25" t="n">
        <f aca="false">(M8/$AC$5)*'Equipe Técnica'!$C$13</f>
        <v>1128.71406615048</v>
      </c>
      <c r="AD8" s="25" t="n">
        <f aca="false">R8+(($V8+$W8+$X8+$Y8)*12/19)+$Z8</f>
        <v>764.376901274666</v>
      </c>
      <c r="AE8" s="25" t="n">
        <f aca="false">S8+(($V8+$W8+$X8+$Y8)*12/19)+$AA8</f>
        <v>895.873639003283</v>
      </c>
      <c r="AF8" s="25" t="n">
        <f aca="false">T8+(($V8+$W8+$X8+$Y8)*12/19)+$AB8</f>
        <v>1487.60895878206</v>
      </c>
      <c r="AG8" s="25" t="n">
        <f aca="false">U8+(($V8+$W8+$X8+$Y8)*12/19)+$AC8</f>
        <v>1487.60895878206</v>
      </c>
      <c r="AH8" s="2"/>
      <c r="AI8" s="23" t="str">
        <f aca="false">B8</f>
        <v>APS BRUSQUE</v>
      </c>
      <c r="AJ8" s="70" t="n">
        <f aca="false">VLOOKUP(AI8,Unidades!D$5:H$24,5,)</f>
        <v>0.2223</v>
      </c>
      <c r="AK8" s="49" t="n">
        <f aca="false">AD8*(1+$AJ8)</f>
        <v>934.297886428024</v>
      </c>
      <c r="AL8" s="49" t="n">
        <f aca="false">AE8*(1+$AJ8)</f>
        <v>1095.02634895371</v>
      </c>
      <c r="AM8" s="49" t="n">
        <f aca="false">AF8*(1+$AJ8)</f>
        <v>1818.30443031931</v>
      </c>
      <c r="AN8" s="49" t="n">
        <f aca="false">AG8*(1+$AJ8)</f>
        <v>1818.30443031931</v>
      </c>
      <c r="AO8" s="49" t="n">
        <f aca="false">((AK8*12)+(AL8*4)+(AM8*2)+AN8)/12</f>
        <v>1753.88277699242</v>
      </c>
      <c r="AP8" s="49" t="n">
        <f aca="false">AO8*$AP$6</f>
        <v>4623.8727757073</v>
      </c>
      <c r="AQ8" s="49" t="n">
        <f aca="false">AO8+AP8</f>
        <v>6377.75555269972</v>
      </c>
      <c r="AR8" s="71"/>
      <c r="AS8" s="72" t="s">
        <v>84</v>
      </c>
      <c r="AT8" s="49" t="n">
        <f aca="false">AT7*12</f>
        <v>104463.06816561</v>
      </c>
      <c r="AU8" s="49" t="n">
        <f aca="false">AU7*4</f>
        <v>40841.1800692141</v>
      </c>
      <c r="AV8" s="49" t="n">
        <f aca="false">AV7*2</f>
        <v>25440.5503206028</v>
      </c>
      <c r="AW8" s="49" t="n">
        <f aca="false">AW7</f>
        <v>18587.2532705824</v>
      </c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</row>
    <row r="9" customFormat="false" ht="15" hidden="false" customHeight="true" outlineLevel="0" collapsed="false">
      <c r="A9" s="2"/>
      <c r="B9" s="65" t="s">
        <v>85</v>
      </c>
      <c r="C9" s="66" t="n">
        <f aca="false">VLOOKUP($B9,Unidades!$D$5:$N$24,6,FALSE())</f>
        <v>963</v>
      </c>
      <c r="D9" s="66" t="n">
        <f aca="false">VLOOKUP($B9,Unidades!$D$5:$N$24,7,FALSE())</f>
        <v>463</v>
      </c>
      <c r="E9" s="66" t="n">
        <f aca="false">VLOOKUP($B9,Unidades!$D$5:$N$24,8,FALSE())</f>
        <v>94</v>
      </c>
      <c r="F9" s="66" t="n">
        <f aca="false">VLOOKUP($B9,Unidades!$D$5:$N$24,9,FALSE())</f>
        <v>406</v>
      </c>
      <c r="G9" s="66" t="n">
        <f aca="false">D9+E9*$E$6+F9*$F$6</f>
        <v>536.5</v>
      </c>
      <c r="H9" s="67" t="n">
        <f aca="false">IF(G9&lt;750,1.5,IF(G9&lt;2000,2,IF(G9&lt;4000,3,12)))</f>
        <v>1.5</v>
      </c>
      <c r="I9" s="67" t="n">
        <f aca="false">$I$6*H9</f>
        <v>1.8</v>
      </c>
      <c r="J9" s="67" t="str">
        <f aca="false">VLOOKUP($B9,Unidades!$D$5:$N$24,10,FALSE())</f>
        <v>NÃO</v>
      </c>
      <c r="K9" s="67" t="str">
        <f aca="false">VLOOKUP($B9,Unidades!$D$5:$N$24,11,FALSE())</f>
        <v>SIM</v>
      </c>
      <c r="L9" s="67" t="n">
        <f aca="false">$L$6*H9+(IF(J9="SIM",$J$6,0))</f>
        <v>1.65</v>
      </c>
      <c r="M9" s="67" t="n">
        <f aca="false">$M$6*H9+(IF(J9="SIM",$J$6,0))+(IF(K9="SIM",$K$6,0))</f>
        <v>5.65</v>
      </c>
      <c r="N9" s="67" t="n">
        <f aca="false">H9*12+I9*4+L9*2+M9</f>
        <v>34.15</v>
      </c>
      <c r="O9" s="68" t="n">
        <f aca="false">IF(K9="não", N9*(C$21+D$21),N9*(C$21+D$21)+(M9*+E$21))</f>
        <v>2306.03216</v>
      </c>
      <c r="P9" s="69"/>
      <c r="Q9" s="23" t="str">
        <f aca="false">B9</f>
        <v>APS IBIRAMA</v>
      </c>
      <c r="R9" s="25" t="n">
        <f aca="false">H9*($C$21+$D$21)</f>
        <v>90.0006</v>
      </c>
      <c r="S9" s="25" t="n">
        <f aca="false">I9*($C$21+$D$21)</f>
        <v>108.00072</v>
      </c>
      <c r="T9" s="25" t="n">
        <f aca="false">L9*($C$21+$D$21)</f>
        <v>99.00066</v>
      </c>
      <c r="U9" s="25" t="n">
        <f aca="false">IF(K9="não",M9*($C$21+$D$21),M9*(C$21+D$21+E$21))</f>
        <v>596.02076</v>
      </c>
      <c r="V9" s="25" t="n">
        <f aca="false">VLOOKUP(Q9,'Desl. Base Blumenau'!$C$5:$S$15,13,FALSE())*($C$21+$D$21+$E$21*(VLOOKUP(Q9,'Desl. Base Blumenau'!$C$5:$S$15,17,FALSE())/12))</f>
        <v>107.913503055556</v>
      </c>
      <c r="W9" s="25" t="n">
        <f aca="false">VLOOKUP(Q9,'Desl. Base Blumenau'!$C$5:$S$15,15,FALSE())*(2+(VLOOKUP(Q9,'Desl. Base Blumenau'!$C$5:$S$15,17,FALSE())/12))</f>
        <v>0</v>
      </c>
      <c r="X9" s="25" t="n">
        <f aca="false">VLOOKUP(Q9,'Desl. Base Blumenau'!$C$5:$Q$15,14,FALSE())</f>
        <v>0</v>
      </c>
      <c r="Y9" s="25" t="n">
        <f aca="false">VLOOKUP(Q9,'Desl. Base Blumenau'!$C$5:$Q$15,13,FALSE())*'Desl. Base Blumenau'!$E$20+'Desl. Base Blumenau'!$E$21*N9/12</f>
        <v>110.746083333333</v>
      </c>
      <c r="Z9" s="25" t="n">
        <f aca="false">(H9/$AC$5)*'Equipe Técnica'!$C$13</f>
        <v>403.112166482315</v>
      </c>
      <c r="AA9" s="25" t="n">
        <f aca="false">(I9/$AC$5)*'Equipe Técnica'!$C$13</f>
        <v>483.734599778778</v>
      </c>
      <c r="AB9" s="25" t="n">
        <f aca="false">(L9/$AC$5)*'Equipe Técnica'!$C$13</f>
        <v>443.423383130547</v>
      </c>
      <c r="AC9" s="25" t="n">
        <f aca="false">(M9/$AC$5)*'Equipe Técnica'!$C$13</f>
        <v>1518.38916041672</v>
      </c>
      <c r="AD9" s="25" t="n">
        <f aca="false">R9+(($V9+$W9+$X9+$Y9)*12/19)+$Z9</f>
        <v>631.213557885824</v>
      </c>
      <c r="AE9" s="25" t="n">
        <f aca="false">S9+(($V9+$W9+$X9+$Y9)*12/19)+$AA9</f>
        <v>729.836111182287</v>
      </c>
      <c r="AF9" s="25" t="n">
        <f aca="false">T9+(($V9+$W9+$X9+$Y9)*12/19)+$AB9</f>
        <v>680.524834534056</v>
      </c>
      <c r="AG9" s="25" t="n">
        <f aca="false">U9+(($V9+$W9+$X9+$Y9)*12/19)+$AC9</f>
        <v>2252.51071182023</v>
      </c>
      <c r="AH9" s="2"/>
      <c r="AI9" s="23" t="str">
        <f aca="false">B9</f>
        <v>APS IBIRAMA</v>
      </c>
      <c r="AJ9" s="70" t="n">
        <f aca="false">VLOOKUP(AI9,Unidades!D$5:H$24,5,)</f>
        <v>0.2487</v>
      </c>
      <c r="AK9" s="49" t="n">
        <f aca="false">AD9*(1+$AJ9)</f>
        <v>788.196369732028</v>
      </c>
      <c r="AL9" s="49" t="n">
        <f aca="false">AE9*(1+$AJ9)</f>
        <v>911.346352033322</v>
      </c>
      <c r="AM9" s="49" t="n">
        <f aca="false">AF9*(1+$AJ9)</f>
        <v>849.771360882675</v>
      </c>
      <c r="AN9" s="49" t="n">
        <f aca="false">AG9*(1+$AJ9)</f>
        <v>2812.71012584992</v>
      </c>
      <c r="AO9" s="49" t="n">
        <f aca="false">((AK9*12)+(AL9*4)+(AM9*2)+AN9)/12</f>
        <v>1467.99955771107</v>
      </c>
      <c r="AP9" s="49" t="n">
        <f aca="false">AO9*$AP$6</f>
        <v>3870.18065214738</v>
      </c>
      <c r="AQ9" s="49" t="n">
        <f aca="false">AO9+AP9</f>
        <v>5338.18020985845</v>
      </c>
      <c r="AR9" s="71"/>
      <c r="AS9" s="71"/>
      <c r="AT9" s="73"/>
      <c r="AU9" s="73"/>
      <c r="AV9" s="73"/>
      <c r="AW9" s="73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</row>
    <row r="10" customFormat="false" ht="15" hidden="false" customHeight="true" outlineLevel="0" collapsed="false">
      <c r="A10" s="2"/>
      <c r="B10" s="65" t="s">
        <v>86</v>
      </c>
      <c r="C10" s="66" t="n">
        <f aca="false">VLOOKUP($B10,Unidades!$D$5:$N$24,6,FALSE())</f>
        <v>204.1</v>
      </c>
      <c r="D10" s="66" t="n">
        <f aca="false">VLOOKUP($B10,Unidades!$D$5:$N$24,7,FALSE())</f>
        <v>137.18</v>
      </c>
      <c r="E10" s="66" t="n">
        <f aca="false">VLOOKUP($B10,Unidades!$D$5:$N$24,8,FALSE())</f>
        <v>66.92</v>
      </c>
      <c r="F10" s="66" t="n">
        <f aca="false">VLOOKUP($B10,Unidades!$D$5:$N$24,9,FALSE())</f>
        <v>0</v>
      </c>
      <c r="G10" s="66" t="n">
        <f aca="false">D10+E10*$E$6+F10*$F$6</f>
        <v>160.602</v>
      </c>
      <c r="H10" s="67" t="n">
        <f aca="false">IF(G10&lt;750,1.5,IF(G10&lt;2000,2,IF(G10&lt;4000,3,12)))</f>
        <v>1.5</v>
      </c>
      <c r="I10" s="67" t="n">
        <f aca="false">$I$6*H10</f>
        <v>1.8</v>
      </c>
      <c r="J10" s="67" t="str">
        <f aca="false">VLOOKUP($B10,Unidades!$D$5:$N$24,10,FALSE())</f>
        <v>NÃO</v>
      </c>
      <c r="K10" s="67" t="str">
        <f aca="false">VLOOKUP($B10,Unidades!$D$5:$N$24,11,FALSE())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N10*(C$21+D$21),N10*(C$21+D$21)+(M10*+E$21))</f>
        <v>1809.01206</v>
      </c>
      <c r="P10" s="69"/>
      <c r="Q10" s="23" t="str">
        <f aca="false">B10</f>
        <v>APS INDAIAL</v>
      </c>
      <c r="R10" s="25" t="n">
        <f aca="false">H10*($C$21+$D$21)</f>
        <v>90.0006</v>
      </c>
      <c r="S10" s="25" t="n">
        <f aca="false">I10*($C$21+$D$21)</f>
        <v>108.00072</v>
      </c>
      <c r="T10" s="25" t="n">
        <f aca="false">L10*($C$21+$D$21)</f>
        <v>99.00066</v>
      </c>
      <c r="U10" s="25" t="n">
        <f aca="false">IF(K10="não",M10*($C$21+$D$21),M10*(C$21+D$21+E$21))</f>
        <v>99.00066</v>
      </c>
      <c r="V10" s="25" t="n">
        <f aca="false">VLOOKUP(Q10,'Desl. Base Blumenau'!$C$5:$S$15,13,FALSE())*($C$21+$D$21+$E$21*(VLOOKUP(Q10,'Desl. Base Blumenau'!$C$5:$S$15,17,FALSE())/12))</f>
        <v>42.5002833333333</v>
      </c>
      <c r="W10" s="25" t="n">
        <f aca="false">VLOOKUP(Q10,'Desl. Base Blumenau'!$C$5:$S$15,15,FALSE())*(2+(VLOOKUP(Q10,'Desl. Base Blumenau'!$C$5:$S$15,17,FALSE())/12))</f>
        <v>0</v>
      </c>
      <c r="X10" s="25" t="n">
        <f aca="false">VLOOKUP(Q10,'Desl. Base Blumenau'!$C$5:$Q$15,14,FALSE())</f>
        <v>0</v>
      </c>
      <c r="Y10" s="25" t="n">
        <f aca="false">VLOOKUP(Q10,'Desl. Base Blumenau'!$C$5:$Q$15,13,FALSE())*'Desl. Base Blumenau'!$E$20+'Desl. Base Blumenau'!$E$21*N10/12</f>
        <v>55.0365833333333</v>
      </c>
      <c r="Z10" s="25" t="n">
        <f aca="false">(H10/$AC$5)*'Equipe Técnica'!$C$13</f>
        <v>403.112166482315</v>
      </c>
      <c r="AA10" s="25" t="n">
        <f aca="false">(I10/$AC$5)*'Equipe Técnica'!$C$13</f>
        <v>483.734599778778</v>
      </c>
      <c r="AB10" s="25" t="n">
        <f aca="false">(L10/$AC$5)*'Equipe Técnica'!$C$13</f>
        <v>443.423383130547</v>
      </c>
      <c r="AC10" s="25" t="n">
        <f aca="false">(M10/$AC$5)*'Equipe Técnica'!$C$13</f>
        <v>443.423383130547</v>
      </c>
      <c r="AD10" s="25" t="n">
        <f aca="false">R10+(($V10+$W10+$X10+$Y10)*12/19)+$Z10</f>
        <v>554.714998061262</v>
      </c>
      <c r="AE10" s="25" t="n">
        <f aca="false">S10+(($V10+$W10+$X10+$Y10)*12/19)+$AA10</f>
        <v>653.337551357725</v>
      </c>
      <c r="AF10" s="25" t="n">
        <f aca="false">T10+(($V10+$W10+$X10+$Y10)*12/19)+$AB10</f>
        <v>604.026274709494</v>
      </c>
      <c r="AG10" s="25" t="n">
        <f aca="false">U10+(($V10+$W10+$X10+$Y10)*12/19)+$AC10</f>
        <v>604.026274709494</v>
      </c>
      <c r="AH10" s="2"/>
      <c r="AI10" s="23" t="str">
        <f aca="false">B10</f>
        <v>APS INDAIAL</v>
      </c>
      <c r="AJ10" s="70" t="n">
        <f aca="false">VLOOKUP(AI10,Unidades!D$5:H$24,5,)</f>
        <v>0.2354</v>
      </c>
      <c r="AK10" s="49" t="n">
        <f aca="false">AD10*(1+$AJ10)</f>
        <v>685.294908604884</v>
      </c>
      <c r="AL10" s="49" t="n">
        <f aca="false">AE10*(1+$AJ10)</f>
        <v>807.133210947334</v>
      </c>
      <c r="AM10" s="49" t="n">
        <f aca="false">AF10*(1+$AJ10)</f>
        <v>746.214059776109</v>
      </c>
      <c r="AN10" s="49" t="n">
        <f aca="false">AG10*(1+$AJ10)</f>
        <v>746.214059776109</v>
      </c>
      <c r="AO10" s="49" t="n">
        <f aca="false">((AK10*12)+(AL10*4)+(AM10*2)+AN10)/12</f>
        <v>1140.89282719802</v>
      </c>
      <c r="AP10" s="49" t="n">
        <f aca="false">AO10*$AP$6</f>
        <v>3007.80836261297</v>
      </c>
      <c r="AQ10" s="49" t="n">
        <f aca="false">AO10+AP10</f>
        <v>4148.70118981099</v>
      </c>
      <c r="AR10" s="71"/>
      <c r="AS10" s="74" t="s">
        <v>72</v>
      </c>
      <c r="AT10" s="49" t="n">
        <f aca="false">(SUM(AT8:AW8))/12</f>
        <v>15777.6709855008</v>
      </c>
      <c r="AU10" s="49"/>
      <c r="AV10" s="73"/>
      <c r="AW10" s="73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</row>
    <row r="11" customFormat="false" ht="15" hidden="false" customHeight="true" outlineLevel="0" collapsed="false">
      <c r="A11" s="2"/>
      <c r="B11" s="65" t="s">
        <v>87</v>
      </c>
      <c r="C11" s="66" t="n">
        <f aca="false">VLOOKUP($B11,Unidades!$D$5:$N$24,6,FALSE())</f>
        <v>3189</v>
      </c>
      <c r="D11" s="66" t="n">
        <f aca="false">VLOOKUP($B11,Unidades!$D$5:$N$24,7,FALSE())</f>
        <v>1510.13</v>
      </c>
      <c r="E11" s="66" t="n">
        <f aca="false">VLOOKUP($B11,Unidades!$D$5:$N$24,8,FALSE())</f>
        <v>678.42</v>
      </c>
      <c r="F11" s="66" t="n">
        <f aca="false">VLOOKUP($B11,Unidades!$D$5:$N$24,9,FALSE())</f>
        <v>1000.45</v>
      </c>
      <c r="G11" s="66" t="n">
        <f aca="false">D11+E11*$E$6+F11*$F$6</f>
        <v>1847.622</v>
      </c>
      <c r="H11" s="67" t="n">
        <f aca="false">IF(G11&lt;750,1.5,IF(G11&lt;2000,2,IF(G11&lt;4000,3,12)))</f>
        <v>2</v>
      </c>
      <c r="I11" s="67" t="n">
        <f aca="false">$I$6*H11</f>
        <v>2.4</v>
      </c>
      <c r="J11" s="67" t="str">
        <f aca="false">VLOOKUP($B11,Unidades!$D$5:$N$24,10,FALSE())</f>
        <v>NÃO</v>
      </c>
      <c r="K11" s="67" t="str">
        <f aca="false">VLOOKUP($B11,Unidades!$D$5:$N$24,11,FALSE())</f>
        <v>SIM</v>
      </c>
      <c r="L11" s="67" t="n">
        <f aca="false">$L$6*H11+(IF(J11="SIM",$J$6,0))</f>
        <v>2.2</v>
      </c>
      <c r="M11" s="67" t="n">
        <f aca="false">$M$6*H11+(IF(J11="SIM",$J$6,0))+(IF(K11="SIM",$K$6,0))</f>
        <v>6.2</v>
      </c>
      <c r="N11" s="67" t="n">
        <f aca="false">H11*12+I11*4+L11*2+M11</f>
        <v>44.2</v>
      </c>
      <c r="O11" s="68" t="n">
        <f aca="false">IF(K11="não", N11*(C$21+D$21),N11*(C$21+D$21)+(M11*+E$21))</f>
        <v>2934.05568</v>
      </c>
      <c r="P11" s="69"/>
      <c r="Q11" s="23" t="str">
        <f aca="false">B11</f>
        <v>APS ITAJAÍ</v>
      </c>
      <c r="R11" s="25" t="n">
        <f aca="false">H11*($C$21+$D$21)</f>
        <v>120.0008</v>
      </c>
      <c r="S11" s="25" t="n">
        <f aca="false">I11*($C$21+$D$21)</f>
        <v>144.00096</v>
      </c>
      <c r="T11" s="25" t="n">
        <f aca="false">L11*($C$21+$D$21)</f>
        <v>132.00088</v>
      </c>
      <c r="U11" s="25" t="n">
        <f aca="false">IF(K11="não",M11*($C$21+$D$21),M11*(C$21+D$21+E$21))</f>
        <v>654.04048</v>
      </c>
      <c r="V11" s="25" t="n">
        <f aca="false">VLOOKUP(Q11,'Desl. Base Blumenau'!$C$5:$S$15,13,FALSE())*($C$21+$D$21+$E$21*(VLOOKUP(Q11,'Desl. Base Blumenau'!$C$5:$S$15,17,FALSE())/12))</f>
        <v>76.0178863888889</v>
      </c>
      <c r="W11" s="25" t="n">
        <f aca="false">VLOOKUP(Q11,'Desl. Base Blumenau'!$C$5:$S$15,15,FALSE())*(2+(VLOOKUP(Q11,'Desl. Base Blumenau'!$C$5:$S$15,17,FALSE())/12))</f>
        <v>0</v>
      </c>
      <c r="X11" s="25" t="n">
        <f aca="false">VLOOKUP(Q11,'Desl. Base Blumenau'!$C$5:$Q$15,14,FALSE())</f>
        <v>0</v>
      </c>
      <c r="Y11" s="25" t="n">
        <f aca="false">VLOOKUP(Q11,'Desl. Base Blumenau'!$C$5:$Q$15,13,FALSE())*'Desl. Base Blumenau'!$E$20+'Desl. Base Blumenau'!$E$21*N11/12</f>
        <v>89.0250833333333</v>
      </c>
      <c r="Z11" s="25" t="n">
        <f aca="false">(H11/$AC$5)*'Equipe Técnica'!$C$13</f>
        <v>537.482888643087</v>
      </c>
      <c r="AA11" s="25" t="n">
        <f aca="false">(I11/$AC$5)*'Equipe Técnica'!$C$13</f>
        <v>644.979466371704</v>
      </c>
      <c r="AB11" s="25" t="n">
        <f aca="false">(L11/$AC$5)*'Equipe Técnica'!$C$13</f>
        <v>591.231177507396</v>
      </c>
      <c r="AC11" s="25" t="n">
        <f aca="false">(M11/$AC$5)*'Equipe Técnica'!$C$13</f>
        <v>1666.19695479357</v>
      </c>
      <c r="AD11" s="25" t="n">
        <f aca="false">R11+(($V11+$W11+$X11+$Y11)*12/19)+$Z11</f>
        <v>761.721353730806</v>
      </c>
      <c r="AE11" s="25" t="n">
        <f aca="false">S11+(($V11+$W11+$X11+$Y11)*12/19)+$AA11</f>
        <v>893.218091459424</v>
      </c>
      <c r="AF11" s="25" t="n">
        <f aca="false">T11+(($V11+$W11+$X11+$Y11)*12/19)+$AB11</f>
        <v>827.469722595115</v>
      </c>
      <c r="AG11" s="25" t="n">
        <f aca="false">U11+(($V11+$W11+$X11+$Y11)*12/19)+$AC11</f>
        <v>2424.47509988129</v>
      </c>
      <c r="AH11" s="2"/>
      <c r="AI11" s="23" t="str">
        <f aca="false">B11</f>
        <v>APS ITAJAÍ</v>
      </c>
      <c r="AJ11" s="70" t="n">
        <f aca="false">VLOOKUP(AI11,Unidades!D$5:H$24,5,)</f>
        <v>0.2223</v>
      </c>
      <c r="AK11" s="49" t="n">
        <f aca="false">AD11*(1+$AJ11)</f>
        <v>931.052010665164</v>
      </c>
      <c r="AL11" s="49" t="n">
        <f aca="false">AE11*(1+$AJ11)</f>
        <v>1091.78047319085</v>
      </c>
      <c r="AM11" s="49" t="n">
        <f aca="false">AF11*(1+$AJ11)</f>
        <v>1011.41624192801</v>
      </c>
      <c r="AN11" s="49" t="n">
        <f aca="false">AG11*(1+$AJ11)</f>
        <v>2963.4359145849</v>
      </c>
      <c r="AO11" s="49" t="n">
        <f aca="false">((AK11*12)+(AL11*4)+(AM11*2)+AN11)/12</f>
        <v>1710.50120159886</v>
      </c>
      <c r="AP11" s="49" t="n">
        <f aca="false">AO11*$AP$6</f>
        <v>4509.50316785153</v>
      </c>
      <c r="AQ11" s="49" t="n">
        <f aca="false">AO11+AP11</f>
        <v>6220.00436945039</v>
      </c>
      <c r="AR11" s="71"/>
      <c r="AS11" s="74" t="s">
        <v>88</v>
      </c>
      <c r="AT11" s="49" t="n">
        <f aca="false">AT10*12</f>
        <v>189332.05182601</v>
      </c>
      <c r="AU11" s="49"/>
      <c r="AV11" s="73"/>
      <c r="AW11" s="73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65" t="s">
        <v>89</v>
      </c>
      <c r="C12" s="66" t="n">
        <f aca="false">VLOOKUP($B12,Unidades!$D$5:$N$24,6,FALSE())</f>
        <v>334.4</v>
      </c>
      <c r="D12" s="66" t="n">
        <f aca="false">VLOOKUP($B12,Unidades!$D$5:$N$24,7,FALSE())</f>
        <v>296</v>
      </c>
      <c r="E12" s="66" t="n">
        <f aca="false">VLOOKUP($B12,Unidades!$D$5:$N$24,8,FALSE())</f>
        <v>38.4</v>
      </c>
      <c r="F12" s="66" t="n">
        <f aca="false">VLOOKUP($B12,Unidades!$D$5:$N$24,9,FALSE())</f>
        <v>0</v>
      </c>
      <c r="G12" s="66" t="n">
        <f aca="false">D12+E12*$E$6+F12*$F$6</f>
        <v>309.44</v>
      </c>
      <c r="H12" s="67" t="n">
        <f aca="false">IF(G12&lt;750,1.5,IF(G12&lt;2000,2,IF(G12&lt;4000,3,12)))</f>
        <v>1.5</v>
      </c>
      <c r="I12" s="67" t="n">
        <f aca="false">$I$6*H12</f>
        <v>1.8</v>
      </c>
      <c r="J12" s="67" t="str">
        <f aca="false">VLOOKUP($B12,Unidades!$D$5:$N$24,10,FALSE())</f>
        <v>NÃO</v>
      </c>
      <c r="K12" s="67" t="str">
        <f aca="false">VLOOKUP($B12,Unidades!$D$5:$N$24,11,FALSE())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N12*(C$21+D$21),N12*(C$21+D$21)+(M12*+E$21))</f>
        <v>1809.01206</v>
      </c>
      <c r="P12" s="69"/>
      <c r="Q12" s="23" t="str">
        <f aca="false">B12</f>
        <v>APS PENHA</v>
      </c>
      <c r="R12" s="25" t="n">
        <f aca="false">H12*($C$21+$D$21)</f>
        <v>90.0006</v>
      </c>
      <c r="S12" s="25" t="n">
        <f aca="false">I12*($C$21+$D$21)</f>
        <v>108.00072</v>
      </c>
      <c r="T12" s="25" t="n">
        <f aca="false">L12*($C$21+$D$21)</f>
        <v>99.00066</v>
      </c>
      <c r="U12" s="25" t="n">
        <f aca="false">IF(K12="não",M12*($C$21+$D$21),M12*(C$21+D$21+E$21))</f>
        <v>99.00066</v>
      </c>
      <c r="V12" s="25" t="n">
        <f aca="false">VLOOKUP(Q12,'Desl. Base Blumenau'!$C$5:$S$15,13,FALSE())*($C$21+$D$21+$E$21*(VLOOKUP(Q12,'Desl. Base Blumenau'!$C$5:$S$15,17,FALSE())/12))</f>
        <v>76.0178863888889</v>
      </c>
      <c r="W12" s="25" t="n">
        <f aca="false">VLOOKUP(Q12,'Desl. Base Blumenau'!$C$5:$S$15,15,FALSE())*(2+(VLOOKUP(Q12,'Desl. Base Blumenau'!$C$5:$S$15,17,FALSE())/12))</f>
        <v>0</v>
      </c>
      <c r="X12" s="25" t="n">
        <f aca="false">VLOOKUP(Q12,'Desl. Base Blumenau'!$C$5:$Q$15,14,FALSE())</f>
        <v>0</v>
      </c>
      <c r="Y12" s="25" t="n">
        <f aca="false">VLOOKUP(Q12,'Desl. Base Blumenau'!$C$5:$Q$15,13,FALSE())*'Desl. Base Blumenau'!$E$20+'Desl. Base Blumenau'!$E$21*N12/12</f>
        <v>81.3444166666667</v>
      </c>
      <c r="Z12" s="25" t="n">
        <f aca="false">(H12/$AC$5)*'Equipe Técnica'!$C$13</f>
        <v>403.112166482315</v>
      </c>
      <c r="AA12" s="25" t="n">
        <f aca="false">(I12/$AC$5)*'Equipe Técnica'!$C$13</f>
        <v>483.734599778778</v>
      </c>
      <c r="AB12" s="25" t="n">
        <f aca="false">(L12/$AC$5)*'Equipe Técnica'!$C$13</f>
        <v>443.423383130547</v>
      </c>
      <c r="AC12" s="25" t="n">
        <f aca="false">(M12/$AC$5)*'Equipe Técnica'!$C$13</f>
        <v>443.423383130547</v>
      </c>
      <c r="AD12" s="25" t="n">
        <f aca="false">R12+(($V12+$W12+$X12+$Y12)*12/19)+$Z12</f>
        <v>592.499484201613</v>
      </c>
      <c r="AE12" s="25" t="n">
        <f aca="false">S12+(($V12+$W12+$X12+$Y12)*12/19)+$AA12</f>
        <v>691.122037498076</v>
      </c>
      <c r="AF12" s="25" t="n">
        <f aca="false">T12+(($V12+$W12+$X12+$Y12)*12/19)+$AB12</f>
        <v>641.810760849845</v>
      </c>
      <c r="AG12" s="25" t="n">
        <f aca="false">U12+(($V12+$W12+$X12+$Y12)*12/19)+$AC12</f>
        <v>641.810760849845</v>
      </c>
      <c r="AH12" s="2"/>
      <c r="AI12" s="23" t="str">
        <f aca="false">B12</f>
        <v>APS PENHA</v>
      </c>
      <c r="AJ12" s="70" t="n">
        <f aca="false">VLOOKUP(AI12,Unidades!D$5:H$24,5,)</f>
        <v>0.2223</v>
      </c>
      <c r="AK12" s="49" t="n">
        <f aca="false">AD12*(1+$AJ12)</f>
        <v>724.212119539632</v>
      </c>
      <c r="AL12" s="49" t="n">
        <f aca="false">AE12*(1+$AJ12)</f>
        <v>844.758466433899</v>
      </c>
      <c r="AM12" s="49" t="n">
        <f aca="false">AF12*(1+$AJ12)</f>
        <v>784.485292986765</v>
      </c>
      <c r="AN12" s="49" t="n">
        <f aca="false">AG12*(1+$AJ12)</f>
        <v>784.485292986765</v>
      </c>
      <c r="AO12" s="49" t="n">
        <f aca="false">((AK12*12)+(AL12*4)+(AM12*2)+AN12)/12</f>
        <v>1201.91959826429</v>
      </c>
      <c r="AP12" s="49" t="n">
        <f aca="false">AO12*$AP$6</f>
        <v>3168.69712269676</v>
      </c>
      <c r="AQ12" s="49" t="n">
        <f aca="false">AO12+AP12</f>
        <v>4370.61672096105</v>
      </c>
      <c r="AR12" s="71"/>
      <c r="AS12" s="74" t="s">
        <v>73</v>
      </c>
      <c r="AT12" s="49" t="n">
        <f aca="false">AP18</f>
        <v>41595.6780526839</v>
      </c>
      <c r="AU12" s="49"/>
      <c r="AV12" s="71"/>
      <c r="AW12" s="71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65" t="s">
        <v>90</v>
      </c>
      <c r="C13" s="66" t="n">
        <f aca="false">VLOOKUP($B13,Unidades!$D$5:$N$24,6,FALSE())</f>
        <v>334.4</v>
      </c>
      <c r="D13" s="66" t="n">
        <f aca="false">VLOOKUP($B13,Unidades!$D$5:$N$24,7,FALSE())</f>
        <v>296</v>
      </c>
      <c r="E13" s="66" t="n">
        <f aca="false">VLOOKUP($B13,Unidades!$D$5:$N$24,8,FALSE())</f>
        <v>38.4</v>
      </c>
      <c r="F13" s="66" t="n">
        <f aca="false">VLOOKUP($B13,Unidades!$D$5:$N$24,9,FALSE())</f>
        <v>0</v>
      </c>
      <c r="G13" s="66" t="n">
        <f aca="false">D13+E13*$E$6+F13*$F$6</f>
        <v>309.44</v>
      </c>
      <c r="H13" s="67" t="n">
        <f aca="false">IF(G13&lt;750,1.5,IF(G13&lt;2000,2,IF(G13&lt;4000,3,12)))</f>
        <v>1.5</v>
      </c>
      <c r="I13" s="67" t="n">
        <f aca="false">$I$6*H13</f>
        <v>1.8</v>
      </c>
      <c r="J13" s="67" t="str">
        <f aca="false">VLOOKUP($B13,Unidades!$D$5:$N$24,10,FALSE())</f>
        <v>NÃO</v>
      </c>
      <c r="K13" s="67" t="str">
        <f aca="false">VLOOKUP($B13,Unidades!$D$5:$N$24,11,FALSE())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N13*(C$21+D$21),N13*(C$21+D$21)+(M13*+E$21))</f>
        <v>1809.01206</v>
      </c>
      <c r="P13" s="69"/>
      <c r="Q13" s="23" t="str">
        <f aca="false">B13</f>
        <v>APS POMERODE</v>
      </c>
      <c r="R13" s="25" t="n">
        <f aca="false">H13*($C$21+$D$21)</f>
        <v>90.0006</v>
      </c>
      <c r="S13" s="25" t="n">
        <f aca="false">I13*($C$21+$D$21)</f>
        <v>108.00072</v>
      </c>
      <c r="T13" s="25" t="n">
        <f aca="false">L13*($C$21+$D$21)</f>
        <v>99.00066</v>
      </c>
      <c r="U13" s="25" t="n">
        <f aca="false">IF(K13="não",M13*($C$21+$D$21),M13*(C$21+D$21+E$21))</f>
        <v>99.00066</v>
      </c>
      <c r="V13" s="25" t="n">
        <f aca="false">VLOOKUP(Q13,'Desl. Base Blumenau'!$C$5:$S$15,13,FALSE())*($C$21+$D$21+$E$21*(VLOOKUP(Q13,'Desl. Base Blumenau'!$C$5:$S$15,17,FALSE())/12))</f>
        <v>76.0005066666667</v>
      </c>
      <c r="W13" s="25" t="n">
        <f aca="false">VLOOKUP(Q13,'Desl. Base Blumenau'!$C$5:$S$15,15,FALSE())*(2+(VLOOKUP(Q13,'Desl. Base Blumenau'!$C$5:$S$15,17,FALSE())/12))</f>
        <v>0</v>
      </c>
      <c r="X13" s="25" t="n">
        <f aca="false">VLOOKUP(Q13,'Desl. Base Blumenau'!$C$5:$Q$15,14,FALSE())</f>
        <v>0</v>
      </c>
      <c r="Y13" s="25" t="n">
        <f aca="false">VLOOKUP(Q13,'Desl. Base Blumenau'!$C$5:$Q$15,13,FALSE())*'Desl. Base Blumenau'!$E$20+'Desl. Base Blumenau'!$E$21*N13/12</f>
        <v>85.4266666666667</v>
      </c>
      <c r="Z13" s="25" t="n">
        <f aca="false">(H13/$AC$5)*'Equipe Técnica'!$C$13</f>
        <v>403.112166482315</v>
      </c>
      <c r="AA13" s="25" t="n">
        <f aca="false">(I13/$AC$5)*'Equipe Técnica'!$C$13</f>
        <v>483.734599778778</v>
      </c>
      <c r="AB13" s="25" t="n">
        <f aca="false">(L13/$AC$5)*'Equipe Técnica'!$C$13</f>
        <v>443.423383130547</v>
      </c>
      <c r="AC13" s="25" t="n">
        <f aca="false">(M13/$AC$5)*'Equipe Técnica'!$C$13</f>
        <v>443.423383130547</v>
      </c>
      <c r="AD13" s="25" t="n">
        <f aca="false">R13+(($V13+$W13+$X13+$Y13)*12/19)+$Z13</f>
        <v>595.066770692841</v>
      </c>
      <c r="AE13" s="25" t="n">
        <f aca="false">S13+(($V13+$W13+$X13+$Y13)*12/19)+$AA13</f>
        <v>693.689323989304</v>
      </c>
      <c r="AF13" s="25" t="n">
        <f aca="false">T13+(($V13+$W13+$X13+$Y13)*12/19)+$AB13</f>
        <v>644.378047341073</v>
      </c>
      <c r="AG13" s="25" t="n">
        <f aca="false">U13+(($V13+$W13+$X13+$Y13)*12/19)+$AC13</f>
        <v>644.378047341073</v>
      </c>
      <c r="AH13" s="2"/>
      <c r="AI13" s="23" t="str">
        <f aca="false">B13</f>
        <v>APS POMERODE</v>
      </c>
      <c r="AJ13" s="70" t="n">
        <f aca="false">VLOOKUP(AI13,Unidades!D$5:H$24,5,)</f>
        <v>0.242</v>
      </c>
      <c r="AK13" s="49" t="n">
        <f aca="false">AD13*(1+$AJ13)</f>
        <v>739.072929200509</v>
      </c>
      <c r="AL13" s="49" t="n">
        <f aca="false">AE13*(1+$AJ13)</f>
        <v>861.562140394716</v>
      </c>
      <c r="AM13" s="49" t="n">
        <f aca="false">AF13*(1+$AJ13)</f>
        <v>800.317534797613</v>
      </c>
      <c r="AN13" s="49" t="n">
        <f aca="false">AG13*(1+$AJ13)</f>
        <v>800.317534797613</v>
      </c>
      <c r="AO13" s="49" t="n">
        <f aca="false">((AK13*12)+(AL13*4)+(AM13*2)+AN13)/12</f>
        <v>1226.33969303148</v>
      </c>
      <c r="AP13" s="49" t="n">
        <f aca="false">AO13*$AP$6</f>
        <v>3233.07737253755</v>
      </c>
      <c r="AQ13" s="49" t="n">
        <f aca="false">AO13+AP13</f>
        <v>4459.41706556903</v>
      </c>
      <c r="AR13" s="71"/>
      <c r="AS13" s="74" t="s">
        <v>91</v>
      </c>
      <c r="AT13" s="49" t="n">
        <f aca="false">AT12*12</f>
        <v>499148.136632207</v>
      </c>
      <c r="AU13" s="49"/>
      <c r="AV13" s="73"/>
      <c r="AW13" s="7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65" t="s">
        <v>92</v>
      </c>
      <c r="C14" s="66" t="n">
        <f aca="false">VLOOKUP($B14,Unidades!$D$5:$N$24,6,FALSE())</f>
        <v>2048</v>
      </c>
      <c r="D14" s="66" t="n">
        <f aca="false">VLOOKUP($B14,Unidades!$D$5:$N$24,7,FALSE())</f>
        <v>1174.52</v>
      </c>
      <c r="E14" s="66" t="n">
        <f aca="false">VLOOKUP($B14,Unidades!$D$5:$N$24,8,FALSE())</f>
        <v>810</v>
      </c>
      <c r="F14" s="66" t="n">
        <f aca="false">VLOOKUP($B14,Unidades!$D$5:$N$24,9,FALSE())</f>
        <v>63.48</v>
      </c>
      <c r="G14" s="66" t="n">
        <f aca="false">D14+E14*$E$6+F14*$F$6</f>
        <v>1464.368</v>
      </c>
      <c r="H14" s="67" t="n">
        <f aca="false">IF(G14&lt;750,1.5,IF(G14&lt;2000,2,IF(G14&lt;4000,3,12)))</f>
        <v>2</v>
      </c>
      <c r="I14" s="67" t="n">
        <f aca="false">$I$6*H14</f>
        <v>2.4</v>
      </c>
      <c r="J14" s="67" t="str">
        <f aca="false">VLOOKUP($B14,Unidades!$D$5:$N$24,10,FALSE())</f>
        <v>NÃO</v>
      </c>
      <c r="K14" s="67" t="str">
        <f aca="false">VLOOKUP($B14,Unidades!$D$5:$N$24,11,FALSE())</f>
        <v>SIM</v>
      </c>
      <c r="L14" s="67" t="n">
        <f aca="false">$L$6*H14+(IF(J14="SIM",$J$6,0))</f>
        <v>2.2</v>
      </c>
      <c r="M14" s="67" t="n">
        <f aca="false">$M$6*H14+(IF(J14="SIM",$J$6,0))+(IF(K14="SIM",$K$6,0))</f>
        <v>6.2</v>
      </c>
      <c r="N14" s="67" t="n">
        <f aca="false">H14*12+I14*4+L14*2+M14</f>
        <v>44.2</v>
      </c>
      <c r="O14" s="68" t="n">
        <f aca="false">IF(K14="não", N14*(C$21+D$21),N14*(C$21+D$21)+(M14*+E$21))</f>
        <v>2934.05568</v>
      </c>
      <c r="P14" s="69"/>
      <c r="Q14" s="23" t="str">
        <f aca="false">B14</f>
        <v>APS RIO DO SUL</v>
      </c>
      <c r="R14" s="25" t="n">
        <f aca="false">H14*($C$21+$D$21)</f>
        <v>120.0008</v>
      </c>
      <c r="S14" s="25" t="n">
        <f aca="false">I14*($C$21+$D$21)</f>
        <v>144.00096</v>
      </c>
      <c r="T14" s="25" t="n">
        <f aca="false">L14*($C$21+$D$21)</f>
        <v>132.00088</v>
      </c>
      <c r="U14" s="25" t="n">
        <f aca="false">IF(K14="não",M14*($C$21+$D$21),M14*(C$21+D$21+E$21))</f>
        <v>654.04048</v>
      </c>
      <c r="V14" s="25" t="n">
        <f aca="false">VLOOKUP(Q14,'Desl. Base Blumenau'!$C$5:$S$15,13,FALSE())*($C$21+$D$21+$E$21*(VLOOKUP(Q14,'Desl. Base Blumenau'!$C$5:$S$15,17,FALSE())/12))</f>
        <v>107.913503055556</v>
      </c>
      <c r="W14" s="25" t="n">
        <f aca="false">VLOOKUP(Q14,'Desl. Base Blumenau'!$C$5:$S$15,15,FALSE())*(2+(VLOOKUP(Q14,'Desl. Base Blumenau'!$C$5:$S$15,17,FALSE())/12))</f>
        <v>0</v>
      </c>
      <c r="X14" s="25" t="n">
        <f aca="false">VLOOKUP(Q14,'Desl. Base Blumenau'!$C$5:$Q$15,14,FALSE())</f>
        <v>0</v>
      </c>
      <c r="Y14" s="25" t="n">
        <f aca="false">VLOOKUP(Q14,'Desl. Base Blumenau'!$C$5:$Q$15,13,FALSE())*'Desl. Base Blumenau'!$E$20+'Desl. Base Blumenau'!$E$21*N14/12</f>
        <v>116.240083333333</v>
      </c>
      <c r="Z14" s="25" t="n">
        <f aca="false">(H14/$AC$5)*'Equipe Técnica'!$C$13</f>
        <v>537.482888643087</v>
      </c>
      <c r="AA14" s="25" t="n">
        <f aca="false">(I14/$AC$5)*'Equipe Técnica'!$C$13</f>
        <v>644.979466371704</v>
      </c>
      <c r="AB14" s="25" t="n">
        <f aca="false">(L14/$AC$5)*'Equipe Técnica'!$C$13</f>
        <v>591.231177507396</v>
      </c>
      <c r="AC14" s="25" t="n">
        <f aca="false">(M14/$AC$5)*'Equipe Técnica'!$C$13</f>
        <v>1666.19695479357</v>
      </c>
      <c r="AD14" s="25" t="n">
        <f aca="false">R14+(($V14+$W14+$X14+$Y14)*12/19)+$Z14</f>
        <v>799.054374783438</v>
      </c>
      <c r="AE14" s="25" t="n">
        <f aca="false">S14+(($V14+$W14+$X14+$Y14)*12/19)+$AA14</f>
        <v>930.551112512055</v>
      </c>
      <c r="AF14" s="25" t="n">
        <f aca="false">T14+(($V14+$W14+$X14+$Y14)*12/19)+$AB14</f>
        <v>864.802743647746</v>
      </c>
      <c r="AG14" s="25" t="n">
        <f aca="false">U14+(($V14+$W14+$X14+$Y14)*12/19)+$AC14</f>
        <v>2461.80812093392</v>
      </c>
      <c r="AH14" s="2"/>
      <c r="AI14" s="23" t="str">
        <f aca="false">B14</f>
        <v>APS RIO DO SUL</v>
      </c>
      <c r="AJ14" s="70" t="n">
        <f aca="false">VLOOKUP(AI14,Unidades!D$5:H$24,5,)</f>
        <v>0.2223</v>
      </c>
      <c r="AK14" s="49" t="n">
        <f aca="false">AD14*(1+$AJ14)</f>
        <v>976.684162297796</v>
      </c>
      <c r="AL14" s="49" t="n">
        <f aca="false">AE14*(1+$AJ14)</f>
        <v>1137.41262482348</v>
      </c>
      <c r="AM14" s="49" t="n">
        <f aca="false">AF14*(1+$AJ14)</f>
        <v>1057.04839356064</v>
      </c>
      <c r="AN14" s="49" t="n">
        <f aca="false">AG14*(1+$AJ14)</f>
        <v>3009.06806621753</v>
      </c>
      <c r="AO14" s="49" t="n">
        <f aca="false">((AK14*12)+(AL14*4)+(AM14*2)+AN14)/12</f>
        <v>1782.75210835052</v>
      </c>
      <c r="AP14" s="49" t="n">
        <f aca="false">AO14*$AP$6</f>
        <v>4699.98283110593</v>
      </c>
      <c r="AQ14" s="49" t="n">
        <f aca="false">AO14+AP14</f>
        <v>6482.73493945645</v>
      </c>
      <c r="AR14" s="71"/>
      <c r="AS14" s="74" t="s">
        <v>74</v>
      </c>
      <c r="AT14" s="49" t="n">
        <f aca="false">AT10+AT12</f>
        <v>57373.3490381847</v>
      </c>
      <c r="AU14" s="49"/>
      <c r="AV14" s="73"/>
      <c r="AW14" s="73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65" t="s">
        <v>93</v>
      </c>
      <c r="C15" s="66" t="n">
        <f aca="false">VLOOKUP($B15,Unidades!$D$5:$N$24,6,FALSE())</f>
        <v>964.83</v>
      </c>
      <c r="D15" s="66" t="n">
        <f aca="false">VLOOKUP($B15,Unidades!$D$5:$N$24,7,FALSE())</f>
        <v>546.27</v>
      </c>
      <c r="E15" s="66" t="n">
        <f aca="false">VLOOKUP($B15,Unidades!$D$5:$N$24,8,FALSE())</f>
        <v>223.33</v>
      </c>
      <c r="F15" s="66" t="n">
        <f aca="false">VLOOKUP($B15,Unidades!$D$5:$N$24,9,FALSE())</f>
        <v>195.23</v>
      </c>
      <c r="G15" s="66" t="n">
        <f aca="false">D15+E15*$E$6+F15*$F$6</f>
        <v>643.9585</v>
      </c>
      <c r="H15" s="67" t="n">
        <f aca="false">IF(G15&lt;750,1.5,IF(G15&lt;2000,2,IF(G15&lt;4000,3,12)))</f>
        <v>1.5</v>
      </c>
      <c r="I15" s="67" t="n">
        <f aca="false">$I$6*H15</f>
        <v>1.8</v>
      </c>
      <c r="J15" s="67" t="str">
        <f aca="false">VLOOKUP($B15,Unidades!$D$5:$N$24,10,FALSE())</f>
        <v>SIM</v>
      </c>
      <c r="K15" s="67" t="str">
        <f aca="false">VLOOKUP($B15,Unidades!$D$5:$N$24,11,FALSE())</f>
        <v>NÃO</v>
      </c>
      <c r="L15" s="67" t="n">
        <f aca="false">$L$6*H15+(IF(J15="SIM",$J$6,0))</f>
        <v>3.65</v>
      </c>
      <c r="M15" s="67" t="n">
        <f aca="false">$M$6*H15+(IF(J15="SIM",$J$6,0))+(IF(K15="SIM",$K$6,0))</f>
        <v>3.65</v>
      </c>
      <c r="N15" s="67" t="n">
        <f aca="false">H15*12+I15*4+L15*2+M15</f>
        <v>36.15</v>
      </c>
      <c r="O15" s="68" t="n">
        <f aca="false">IF(K15="não", N15*(C$21+D$21),N15*(C$21+D$21)+(M15*+E$21))</f>
        <v>2169.01446</v>
      </c>
      <c r="P15" s="69"/>
      <c r="Q15" s="23" t="str">
        <f aca="false">B15</f>
        <v>APS TIMBÓ</v>
      </c>
      <c r="R15" s="25" t="n">
        <f aca="false">H15*($C$21+$D$21)</f>
        <v>90.0006</v>
      </c>
      <c r="S15" s="25" t="n">
        <f aca="false">I15*($C$21+$D$21)</f>
        <v>108.00072</v>
      </c>
      <c r="T15" s="25" t="n">
        <f aca="false">L15*($C$21+$D$21)</f>
        <v>219.00146</v>
      </c>
      <c r="U15" s="25" t="n">
        <f aca="false">IF(K15="não",M15*($C$21+$D$21),M15*(C$21+D$21+E$21))</f>
        <v>219.00146</v>
      </c>
      <c r="V15" s="25" t="n">
        <f aca="false">VLOOKUP(Q15,'Desl. Base Blumenau'!$C$5:$S$15,13,FALSE())*($C$21+$D$21+$E$21*(VLOOKUP(Q15,'Desl. Base Blumenau'!$C$5:$S$15,17,FALSE())/12))</f>
        <v>42.5002833333333</v>
      </c>
      <c r="W15" s="25" t="n">
        <f aca="false">VLOOKUP(Q15,'Desl. Base Blumenau'!$C$5:$S$15,15,FALSE())*(2+(VLOOKUP(Q15,'Desl. Base Blumenau'!$C$5:$S$15,17,FALSE())/12))</f>
        <v>0</v>
      </c>
      <c r="X15" s="25" t="n">
        <f aca="false">VLOOKUP(Q15,'Desl. Base Blumenau'!$C$5:$Q$15,14,FALSE())</f>
        <v>0</v>
      </c>
      <c r="Y15" s="25" t="n">
        <f aca="false">VLOOKUP(Q15,'Desl. Base Blumenau'!$C$5:$Q$15,13,FALSE())*'Desl. Base Blumenau'!$E$20+'Desl. Base Blumenau'!$E$21*N15/12</f>
        <v>58.3165833333333</v>
      </c>
      <c r="Z15" s="25" t="n">
        <f aca="false">(H15/$AC$5)*'Equipe Técnica'!$C$13</f>
        <v>403.112166482315</v>
      </c>
      <c r="AA15" s="25" t="n">
        <f aca="false">(I15/$AC$5)*'Equipe Técnica'!$C$13</f>
        <v>483.734599778778</v>
      </c>
      <c r="AB15" s="25" t="n">
        <f aca="false">(L15/$AC$5)*'Equipe Técnica'!$C$13</f>
        <v>980.906271773634</v>
      </c>
      <c r="AC15" s="25" t="n">
        <f aca="false">(M15/$AC$5)*'Equipe Técnica'!$C$13</f>
        <v>980.906271773634</v>
      </c>
      <c r="AD15" s="25" t="n">
        <f aca="false">R15+(($V15+$W15+$X15+$Y15)*12/19)+$Z15</f>
        <v>556.786577008631</v>
      </c>
      <c r="AE15" s="25" t="n">
        <f aca="false">S15+(($V15+$W15+$X15+$Y15)*12/19)+$AA15</f>
        <v>655.409130305094</v>
      </c>
      <c r="AF15" s="25" t="n">
        <f aca="false">T15+(($V15+$W15+$X15+$Y15)*12/19)+$AB15</f>
        <v>1263.58154229995</v>
      </c>
      <c r="AG15" s="25" t="n">
        <f aca="false">U15+(($V15+$W15+$X15+$Y15)*12/19)+$AC15</f>
        <v>1263.58154229995</v>
      </c>
      <c r="AH15" s="2"/>
      <c r="AI15" s="23" t="str">
        <f aca="false">B15</f>
        <v>APS TIMBÓ</v>
      </c>
      <c r="AJ15" s="70" t="n">
        <f aca="false">VLOOKUP(AI15,Unidades!D$5:H$24,5,)</f>
        <v>0.242</v>
      </c>
      <c r="AK15" s="49" t="n">
        <f aca="false">AD15*(1+$AJ15)</f>
        <v>691.52892864472</v>
      </c>
      <c r="AL15" s="49" t="n">
        <f aca="false">AE15*(1+$AJ15)</f>
        <v>814.018139838927</v>
      </c>
      <c r="AM15" s="49" t="n">
        <f aca="false">AF15*(1+$AJ15)</f>
        <v>1569.36827553654</v>
      </c>
      <c r="AN15" s="49" t="n">
        <f aca="false">AG15*(1+$AJ15)</f>
        <v>1569.36827553654</v>
      </c>
      <c r="AO15" s="49" t="n">
        <f aca="false">((AK15*12)+(AL15*4)+(AM15*2)+AN15)/12</f>
        <v>1355.21037747516</v>
      </c>
      <c r="AP15" s="49" t="n">
        <f aca="false">AO15*$AP$6</f>
        <v>3572.82735879816</v>
      </c>
      <c r="AQ15" s="49" t="n">
        <f aca="false">AO15+AP15</f>
        <v>4928.03773627332</v>
      </c>
      <c r="AR15" s="71"/>
      <c r="AS15" s="74" t="s">
        <v>94</v>
      </c>
      <c r="AT15" s="49" t="n">
        <f aca="false">AT11+AT13</f>
        <v>688480.188458217</v>
      </c>
      <c r="AU15" s="49"/>
      <c r="AV15" s="71"/>
      <c r="AW15" s="71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65" t="s">
        <v>95</v>
      </c>
      <c r="C16" s="66" t="n">
        <f aca="false">VLOOKUP($B16,Unidades!$D$5:$N$24,6,FALSE())</f>
        <v>540</v>
      </c>
      <c r="D16" s="66" t="n">
        <f aca="false">VLOOKUP($B16,Unidades!$D$5:$N$24,7,FALSE())</f>
        <v>0</v>
      </c>
      <c r="E16" s="66" t="n">
        <f aca="false">VLOOKUP($B16,Unidades!$D$5:$N$24,8,FALSE())</f>
        <v>540</v>
      </c>
      <c r="F16" s="66" t="n">
        <f aca="false">VLOOKUP($B16,Unidades!$D$5:$N$24,9,FALSE())</f>
        <v>0</v>
      </c>
      <c r="G16" s="66" t="n">
        <f aca="false">D16+E16*$E$6+F16*$F$6</f>
        <v>189</v>
      </c>
      <c r="H16" s="67" t="n">
        <f aca="false">IF(G16&lt;750,1.5,IF(G16&lt;2000,2,IF(G16&lt;4000,3,12)))</f>
        <v>1.5</v>
      </c>
      <c r="I16" s="67" t="n">
        <f aca="false">$I$6*H16</f>
        <v>1.8</v>
      </c>
      <c r="J16" s="67" t="str">
        <f aca="false">VLOOKUP($B16,Unidades!$D$5:$N$24,10,FALSE())</f>
        <v>NÃO</v>
      </c>
      <c r="K16" s="67" t="str">
        <f aca="false">VLOOKUP($B16,Unidades!$D$5:$N$24,11,FALSE())</f>
        <v>NÃO</v>
      </c>
      <c r="L16" s="67" t="n">
        <f aca="false">$L$6*H16+(IF(J16="SIM",$J$6,0))</f>
        <v>1.65</v>
      </c>
      <c r="M16" s="67" t="n">
        <f aca="false">$M$6*H16+(IF(J16="SIM",$J$6,0))+(IF(K16="SIM",$K$6,0))</f>
        <v>1.65</v>
      </c>
      <c r="N16" s="67" t="n">
        <f aca="false">H16*12+I16*4+L16*2+M16</f>
        <v>30.15</v>
      </c>
      <c r="O16" s="68" t="n">
        <f aca="false">IF(K16="não", N16*(C$21+D$21),N16*(C$21+D$21)+(M16*+E$21))</f>
        <v>1809.01206</v>
      </c>
      <c r="P16" s="69"/>
      <c r="Q16" s="23" t="str">
        <f aca="false">B16</f>
        <v>CEDOCPREV BLUMENAU</v>
      </c>
      <c r="R16" s="25" t="n">
        <f aca="false">H16*($C$21+$D$21)</f>
        <v>90.0006</v>
      </c>
      <c r="S16" s="25" t="n">
        <f aca="false">I16*($C$21+$D$21)</f>
        <v>108.00072</v>
      </c>
      <c r="T16" s="25" t="n">
        <f aca="false">L16*($C$21+$D$21)</f>
        <v>99.00066</v>
      </c>
      <c r="U16" s="25" t="n">
        <f aca="false">IF(K16="não",M16*($C$21+$D$21),M16*(C$21+D$21+E$21))</f>
        <v>99.00066</v>
      </c>
      <c r="V16" s="25" t="n">
        <f aca="false">VLOOKUP(Q16,'Desl. Base Blumenau'!$C$5:$S$15,13,FALSE())*($C$21+$D$21+$E$21*(VLOOKUP(Q16,'Desl. Base Blumenau'!$C$5:$S$15,17,FALSE())/12))</f>
        <v>4.00002666666667</v>
      </c>
      <c r="W16" s="25" t="n">
        <f aca="false">VLOOKUP(Q16,'Desl. Base Blumenau'!$C$5:$S$15,15,FALSE())*(2+(VLOOKUP(Q16,'Desl. Base Blumenau'!$C$5:$S$15,17,FALSE())/12))</f>
        <v>0</v>
      </c>
      <c r="X16" s="25" t="n">
        <f aca="false">VLOOKUP(Q16,'Desl. Base Blumenau'!$C$5:$Q$15,14,FALSE())</f>
        <v>0</v>
      </c>
      <c r="Y16" s="25" t="n">
        <f aca="false">VLOOKUP(Q16,'Desl. Base Blumenau'!$C$5:$Q$15,13,FALSE())*'Desl. Base Blumenau'!$E$20+'Desl. Base Blumenau'!$E$21*N16/12</f>
        <v>20.1106666666667</v>
      </c>
      <c r="Z16" s="25" t="n">
        <f aca="false">(H16/$AC$5)*'Equipe Técnica'!$C$13</f>
        <v>403.112166482315</v>
      </c>
      <c r="AA16" s="25" t="n">
        <f aca="false">(I16/$AC$5)*'Equipe Técnica'!$C$13</f>
        <v>483.734599778778</v>
      </c>
      <c r="AB16" s="25" t="n">
        <f aca="false">(L16/$AC$5)*'Equipe Técnica'!$C$13</f>
        <v>443.423383130547</v>
      </c>
      <c r="AC16" s="25" t="n">
        <f aca="false">(M16/$AC$5)*'Equipe Técnica'!$C$13</f>
        <v>443.423383130547</v>
      </c>
      <c r="AD16" s="25" t="n">
        <f aca="false">R16+(($V16+$W16+$X16+$Y16)*12/19)+$Z16</f>
        <v>508.340572798105</v>
      </c>
      <c r="AE16" s="25" t="n">
        <f aca="false">S16+(($V16+$W16+$X16+$Y16)*12/19)+$AA16</f>
        <v>606.963126094568</v>
      </c>
      <c r="AF16" s="25" t="n">
        <f aca="false">T16+(($V16+$W16+$X16+$Y16)*12/19)+$AB16</f>
        <v>557.651849446336</v>
      </c>
      <c r="AG16" s="25" t="n">
        <f aca="false">U16+(($V16+$W16+$X16+$Y16)*12/19)+$AC16</f>
        <v>557.651849446336</v>
      </c>
      <c r="AH16" s="2"/>
      <c r="AI16" s="23" t="str">
        <f aca="false">B16</f>
        <v>CEDOCPREV BLUMENAU</v>
      </c>
      <c r="AJ16" s="70" t="n">
        <f aca="false">VLOOKUP(AI16,Unidades!D$5:H$24,5,)</f>
        <v>0.2624</v>
      </c>
      <c r="AK16" s="49" t="n">
        <f aca="false">AD16*(1+$AJ16)</f>
        <v>641.729139100327</v>
      </c>
      <c r="AL16" s="49" t="n">
        <f aca="false">AE16*(1+$AJ16)</f>
        <v>766.230250381782</v>
      </c>
      <c r="AM16" s="49" t="n">
        <f aca="false">AF16*(1+$AJ16)</f>
        <v>703.979694741055</v>
      </c>
      <c r="AN16" s="49" t="n">
        <f aca="false">AG16*(1+$AJ16)</f>
        <v>703.979694741055</v>
      </c>
      <c r="AO16" s="49" t="n">
        <f aca="false">((AK16*12)+(AL16*4)+(AM16*2)+AN16)/12</f>
        <v>1073.13414624618</v>
      </c>
      <c r="AP16" s="49" t="n">
        <f aca="false">AO16*$AP$6</f>
        <v>2829.17184010358</v>
      </c>
      <c r="AQ16" s="49" t="n">
        <f aca="false">AO16+AP16</f>
        <v>3902.30598634976</v>
      </c>
      <c r="AR16" s="71"/>
      <c r="AS16" s="71"/>
      <c r="AT16" s="71"/>
      <c r="AU16" s="71"/>
      <c r="AV16" s="71"/>
      <c r="AW16" s="71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56"/>
      <c r="IX16" s="56"/>
      <c r="IY16" s="56"/>
      <c r="IZ16" s="56"/>
      <c r="JA16" s="56"/>
      <c r="JB16" s="56"/>
      <c r="JC16" s="56"/>
      <c r="JD16" s="56"/>
      <c r="JE16" s="56"/>
      <c r="JF16" s="56"/>
      <c r="JG16" s="56"/>
      <c r="JH16" s="56"/>
      <c r="JI16" s="56"/>
      <c r="JJ16" s="56"/>
      <c r="JK16" s="56"/>
      <c r="JL16" s="56"/>
      <c r="JM16" s="56"/>
      <c r="JN16" s="56"/>
      <c r="JO16" s="56"/>
      <c r="JP16" s="56"/>
      <c r="JQ16" s="56"/>
      <c r="JR16" s="56"/>
      <c r="JS16" s="56"/>
      <c r="JT16" s="56"/>
      <c r="JU16" s="56"/>
      <c r="JV16" s="56"/>
      <c r="JW16" s="56"/>
      <c r="JX16" s="56"/>
      <c r="JY16" s="56"/>
      <c r="JZ16" s="56"/>
      <c r="KA16" s="56"/>
      <c r="KB16" s="56"/>
      <c r="KC16" s="56"/>
      <c r="KD16" s="56"/>
      <c r="KE16" s="56"/>
      <c r="KF16" s="56"/>
      <c r="KG16" s="56"/>
      <c r="KH16" s="56"/>
      <c r="KI16" s="56"/>
      <c r="KJ16" s="56"/>
      <c r="KK16" s="56"/>
      <c r="KL16" s="56"/>
      <c r="KM16" s="56"/>
      <c r="KN16" s="56"/>
      <c r="KO16" s="56"/>
      <c r="KP16" s="56"/>
      <c r="KQ16" s="56"/>
      <c r="KR16" s="56"/>
      <c r="KS16" s="56"/>
      <c r="KT16" s="56"/>
      <c r="KU16" s="56"/>
      <c r="KV16" s="56"/>
      <c r="KW16" s="56"/>
      <c r="KX16" s="56"/>
      <c r="KY16" s="56"/>
      <c r="KZ16" s="56"/>
      <c r="LA16" s="56"/>
      <c r="LB16" s="56"/>
      <c r="LC16" s="56"/>
      <c r="LD16" s="56"/>
      <c r="LE16" s="56"/>
      <c r="LF16" s="56"/>
      <c r="LG16" s="56"/>
      <c r="LH16" s="56"/>
      <c r="LI16" s="56"/>
      <c r="LJ16" s="56"/>
      <c r="LK16" s="56"/>
      <c r="LL16" s="56"/>
      <c r="LM16" s="56"/>
      <c r="LN16" s="56"/>
      <c r="LO16" s="56"/>
      <c r="LP16" s="56"/>
      <c r="LQ16" s="56"/>
      <c r="LR16" s="56"/>
      <c r="LS16" s="56"/>
      <c r="LT16" s="56"/>
      <c r="LU16" s="56"/>
      <c r="LV16" s="56"/>
      <c r="LW16" s="56"/>
      <c r="LX16" s="56"/>
      <c r="LY16" s="56"/>
      <c r="LZ16" s="56"/>
      <c r="MA16" s="56"/>
      <c r="MB16" s="56"/>
      <c r="MC16" s="56"/>
      <c r="MD16" s="56"/>
      <c r="ME16" s="56"/>
      <c r="MF16" s="56"/>
      <c r="MG16" s="56"/>
      <c r="MH16" s="56"/>
      <c r="MI16" s="56"/>
      <c r="MJ16" s="56"/>
      <c r="MK16" s="56"/>
      <c r="ML16" s="56"/>
      <c r="MM16" s="56"/>
      <c r="MN16" s="56"/>
      <c r="MO16" s="56"/>
      <c r="MP16" s="56"/>
      <c r="MQ16" s="56"/>
      <c r="MR16" s="56"/>
      <c r="MS16" s="56"/>
      <c r="MT16" s="56"/>
      <c r="MU16" s="56"/>
      <c r="MV16" s="56"/>
      <c r="MW16" s="56"/>
      <c r="MX16" s="56"/>
      <c r="MY16" s="56"/>
      <c r="MZ16" s="56"/>
      <c r="NA16" s="56"/>
      <c r="NB16" s="56"/>
      <c r="NC16" s="56"/>
      <c r="ND16" s="56"/>
      <c r="NE16" s="56"/>
      <c r="NF16" s="56"/>
      <c r="NG16" s="56"/>
      <c r="NH16" s="56"/>
      <c r="NI16" s="56"/>
      <c r="NJ16" s="56"/>
      <c r="NK16" s="56"/>
      <c r="NL16" s="56"/>
      <c r="NM16" s="56"/>
      <c r="NN16" s="56"/>
      <c r="NO16" s="56"/>
      <c r="NP16" s="56"/>
      <c r="NQ16" s="56"/>
      <c r="NR16" s="56"/>
      <c r="NS16" s="56"/>
      <c r="NT16" s="56"/>
      <c r="NU16" s="56"/>
      <c r="NV16" s="56"/>
      <c r="NW16" s="56"/>
      <c r="NX16" s="56"/>
      <c r="NY16" s="56"/>
      <c r="NZ16" s="56"/>
      <c r="OA16" s="56"/>
      <c r="OB16" s="56"/>
      <c r="OC16" s="56"/>
      <c r="OD16" s="56"/>
      <c r="OE16" s="56"/>
      <c r="OF16" s="56"/>
      <c r="OG16" s="56"/>
      <c r="OH16" s="56"/>
      <c r="OI16" s="56"/>
      <c r="OJ16" s="56"/>
      <c r="OK16" s="56"/>
      <c r="OL16" s="56"/>
      <c r="OM16" s="56"/>
      <c r="ON16" s="56"/>
      <c r="OO16" s="56"/>
      <c r="OP16" s="56"/>
      <c r="OQ16" s="56"/>
      <c r="OR16" s="56"/>
      <c r="OS16" s="56"/>
      <c r="OT16" s="56"/>
      <c r="OU16" s="56"/>
      <c r="OV16" s="56"/>
      <c r="OW16" s="56"/>
      <c r="OX16" s="56"/>
      <c r="OY16" s="56"/>
      <c r="OZ16" s="56"/>
      <c r="PA16" s="56"/>
      <c r="PB16" s="56"/>
      <c r="PC16" s="56"/>
      <c r="PD16" s="56"/>
      <c r="PE16" s="56"/>
      <c r="PF16" s="56"/>
      <c r="PG16" s="56"/>
      <c r="PH16" s="56"/>
      <c r="PI16" s="56"/>
      <c r="PJ16" s="56"/>
      <c r="PK16" s="56"/>
      <c r="PL16" s="56"/>
      <c r="PM16" s="56"/>
      <c r="PN16" s="56"/>
      <c r="PO16" s="56"/>
      <c r="PP16" s="56"/>
      <c r="PQ16" s="56"/>
      <c r="PR16" s="56"/>
      <c r="PS16" s="56"/>
      <c r="PT16" s="56"/>
      <c r="PU16" s="56"/>
      <c r="PV16" s="56"/>
      <c r="PW16" s="56"/>
      <c r="PX16" s="56"/>
      <c r="PY16" s="56"/>
      <c r="PZ16" s="56"/>
      <c r="QA16" s="56"/>
      <c r="QB16" s="56"/>
      <c r="QC16" s="56"/>
      <c r="QD16" s="56"/>
      <c r="QE16" s="56"/>
      <c r="QF16" s="56"/>
      <c r="QG16" s="56"/>
      <c r="QH16" s="56"/>
      <c r="QI16" s="56"/>
      <c r="QJ16" s="56"/>
      <c r="QK16" s="56"/>
      <c r="QL16" s="56"/>
      <c r="QM16" s="56"/>
      <c r="QN16" s="56"/>
      <c r="QO16" s="56"/>
      <c r="QP16" s="56"/>
      <c r="QQ16" s="56"/>
      <c r="QR16" s="56"/>
      <c r="QS16" s="56"/>
      <c r="QT16" s="56"/>
      <c r="QU16" s="56"/>
      <c r="QV16" s="56"/>
      <c r="QW16" s="56"/>
      <c r="QX16" s="56"/>
      <c r="QY16" s="56"/>
      <c r="QZ16" s="56"/>
      <c r="RA16" s="56"/>
      <c r="RB16" s="56"/>
      <c r="RC16" s="56"/>
      <c r="RD16" s="56"/>
      <c r="RE16" s="56"/>
      <c r="RF16" s="56"/>
      <c r="RG16" s="56"/>
      <c r="RH16" s="56"/>
      <c r="RI16" s="56"/>
      <c r="RJ16" s="56"/>
      <c r="RK16" s="56"/>
      <c r="RL16" s="56"/>
      <c r="RM16" s="56"/>
      <c r="RN16" s="56"/>
      <c r="RO16" s="56"/>
      <c r="RP16" s="56"/>
      <c r="RQ16" s="56"/>
      <c r="RR16" s="56"/>
      <c r="RS16" s="56"/>
      <c r="RT16" s="56"/>
      <c r="RU16" s="56"/>
      <c r="RV16" s="56"/>
      <c r="RW16" s="56"/>
      <c r="RX16" s="56"/>
      <c r="RY16" s="56"/>
      <c r="RZ16" s="56"/>
      <c r="SA16" s="56"/>
      <c r="SB16" s="56"/>
      <c r="SC16" s="56"/>
      <c r="SD16" s="56"/>
      <c r="SE16" s="56"/>
      <c r="SF16" s="56"/>
      <c r="SG16" s="56"/>
      <c r="SH16" s="56"/>
      <c r="SI16" s="56"/>
      <c r="SJ16" s="56"/>
      <c r="SK16" s="56"/>
      <c r="SL16" s="56"/>
      <c r="SM16" s="56"/>
      <c r="SN16" s="56"/>
      <c r="SO16" s="56"/>
      <c r="SP16" s="56"/>
      <c r="SQ16" s="56"/>
      <c r="SR16" s="56"/>
      <c r="SS16" s="56"/>
      <c r="ST16" s="56"/>
      <c r="SU16" s="56"/>
      <c r="SV16" s="56"/>
      <c r="SW16" s="56"/>
      <c r="SX16" s="56"/>
      <c r="SY16" s="56"/>
      <c r="SZ16" s="56"/>
      <c r="TA16" s="56"/>
      <c r="TB16" s="56"/>
      <c r="TC16" s="56"/>
      <c r="TD16" s="56"/>
      <c r="TE16" s="56"/>
      <c r="TF16" s="56"/>
      <c r="TG16" s="56"/>
      <c r="TH16" s="56"/>
      <c r="TI16" s="56"/>
      <c r="TJ16" s="56"/>
      <c r="TK16" s="56"/>
      <c r="TL16" s="56"/>
      <c r="TM16" s="56"/>
      <c r="TN16" s="56"/>
      <c r="TO16" s="56"/>
      <c r="TP16" s="56"/>
      <c r="TQ16" s="56"/>
      <c r="TR16" s="56"/>
      <c r="TS16" s="56"/>
      <c r="TT16" s="56"/>
      <c r="TU16" s="56"/>
      <c r="TV16" s="56"/>
      <c r="TW16" s="56"/>
      <c r="TX16" s="56"/>
      <c r="TY16" s="56"/>
      <c r="TZ16" s="56"/>
      <c r="UA16" s="56"/>
      <c r="UB16" s="56"/>
      <c r="UC16" s="56"/>
      <c r="UD16" s="56"/>
      <c r="UE16" s="56"/>
      <c r="UF16" s="56"/>
      <c r="UG16" s="56"/>
      <c r="UH16" s="56"/>
      <c r="UI16" s="56"/>
      <c r="UJ16" s="56"/>
      <c r="UK16" s="56"/>
      <c r="UL16" s="56"/>
      <c r="UM16" s="56"/>
      <c r="UN16" s="56"/>
      <c r="UO16" s="56"/>
      <c r="UP16" s="56"/>
      <c r="UQ16" s="56"/>
      <c r="UR16" s="56"/>
      <c r="US16" s="56"/>
      <c r="UT16" s="56"/>
      <c r="UU16" s="56"/>
      <c r="UV16" s="56"/>
      <c r="UW16" s="56"/>
      <c r="UX16" s="56"/>
      <c r="UY16" s="56"/>
      <c r="UZ16" s="56"/>
      <c r="VA16" s="56"/>
      <c r="VB16" s="56"/>
      <c r="VC16" s="56"/>
      <c r="VD16" s="56"/>
      <c r="VE16" s="56"/>
      <c r="VF16" s="56"/>
      <c r="VG16" s="56"/>
      <c r="VH16" s="56"/>
      <c r="VI16" s="56"/>
      <c r="VJ16" s="56"/>
      <c r="VK16" s="56"/>
      <c r="VL16" s="56"/>
      <c r="VM16" s="56"/>
      <c r="VN16" s="56"/>
      <c r="VO16" s="56"/>
      <c r="VP16" s="56"/>
      <c r="VQ16" s="56"/>
      <c r="VR16" s="56"/>
      <c r="VS16" s="56"/>
      <c r="VT16" s="56"/>
      <c r="VU16" s="56"/>
      <c r="VV16" s="56"/>
      <c r="VW16" s="56"/>
      <c r="VX16" s="56"/>
      <c r="VY16" s="56"/>
      <c r="VZ16" s="56"/>
      <c r="WA16" s="56"/>
      <c r="WB16" s="56"/>
      <c r="WC16" s="56"/>
      <c r="WD16" s="56"/>
      <c r="WE16" s="56"/>
      <c r="WF16" s="56"/>
      <c r="WG16" s="56"/>
      <c r="WH16" s="56"/>
      <c r="WI16" s="56"/>
      <c r="WJ16" s="56"/>
      <c r="WK16" s="56"/>
      <c r="WL16" s="56"/>
      <c r="WM16" s="56"/>
      <c r="WN16" s="56"/>
      <c r="WO16" s="56"/>
      <c r="WP16" s="56"/>
      <c r="WQ16" s="56"/>
      <c r="WR16" s="56"/>
      <c r="WS16" s="56"/>
      <c r="WT16" s="56"/>
      <c r="WU16" s="56"/>
      <c r="WV16" s="56"/>
      <c r="WW16" s="56"/>
      <c r="WX16" s="56"/>
      <c r="WY16" s="56"/>
      <c r="WZ16" s="56"/>
      <c r="XA16" s="56"/>
      <c r="XB16" s="56"/>
      <c r="XC16" s="56"/>
      <c r="XD16" s="56"/>
      <c r="XE16" s="56"/>
      <c r="XF16" s="56"/>
      <c r="XG16" s="56"/>
      <c r="XH16" s="56"/>
      <c r="XI16" s="56"/>
      <c r="XJ16" s="56"/>
      <c r="XK16" s="56"/>
      <c r="XL16" s="56"/>
      <c r="XM16" s="56"/>
      <c r="XN16" s="56"/>
      <c r="XO16" s="56"/>
      <c r="XP16" s="56"/>
      <c r="XQ16" s="56"/>
      <c r="XR16" s="56"/>
      <c r="XS16" s="56"/>
      <c r="XT16" s="56"/>
      <c r="XU16" s="56"/>
      <c r="XV16" s="56"/>
      <c r="XW16" s="56"/>
      <c r="XX16" s="56"/>
      <c r="XY16" s="56"/>
      <c r="XZ16" s="56"/>
      <c r="YA16" s="56"/>
      <c r="YB16" s="56"/>
      <c r="YC16" s="56"/>
      <c r="YD16" s="56"/>
      <c r="YE16" s="56"/>
      <c r="YF16" s="56"/>
      <c r="YG16" s="56"/>
      <c r="YH16" s="56"/>
      <c r="YI16" s="56"/>
      <c r="YJ16" s="56"/>
      <c r="YK16" s="56"/>
      <c r="YL16" s="56"/>
      <c r="YM16" s="56"/>
      <c r="YN16" s="56"/>
      <c r="YO16" s="56"/>
      <c r="YP16" s="56"/>
      <c r="YQ16" s="56"/>
      <c r="YR16" s="56"/>
      <c r="YS16" s="56"/>
      <c r="YT16" s="56"/>
      <c r="YU16" s="56"/>
      <c r="YV16" s="56"/>
      <c r="YW16" s="56"/>
      <c r="YX16" s="56"/>
      <c r="YY16" s="56"/>
      <c r="YZ16" s="56"/>
      <c r="ZA16" s="56"/>
      <c r="ZB16" s="56"/>
      <c r="ZC16" s="56"/>
      <c r="ZD16" s="56"/>
      <c r="ZE16" s="56"/>
      <c r="ZF16" s="56"/>
      <c r="ZG16" s="56"/>
      <c r="ZH16" s="56"/>
      <c r="ZI16" s="56"/>
      <c r="ZJ16" s="56"/>
      <c r="ZK16" s="56"/>
      <c r="ZL16" s="56"/>
      <c r="ZM16" s="56"/>
      <c r="ZN16" s="56"/>
      <c r="ZO16" s="56"/>
      <c r="ZP16" s="56"/>
      <c r="ZQ16" s="56"/>
      <c r="ZR16" s="56"/>
      <c r="ZS16" s="56"/>
      <c r="ZT16" s="56"/>
      <c r="ZU16" s="56"/>
      <c r="ZV16" s="56"/>
      <c r="ZW16" s="56"/>
      <c r="ZX16" s="56"/>
      <c r="ZY16" s="56"/>
      <c r="ZZ16" s="56"/>
      <c r="AAA16" s="56"/>
      <c r="AAB16" s="56"/>
      <c r="AAC16" s="56"/>
      <c r="AAD16" s="56"/>
      <c r="AAE16" s="56"/>
      <c r="AAF16" s="56"/>
      <c r="AAG16" s="56"/>
      <c r="AAH16" s="56"/>
      <c r="AAI16" s="56"/>
      <c r="AAJ16" s="56"/>
      <c r="AAK16" s="56"/>
      <c r="AAL16" s="56"/>
      <c r="AAM16" s="56"/>
      <c r="AAN16" s="56"/>
      <c r="AAO16" s="56"/>
      <c r="AAP16" s="56"/>
      <c r="AAQ16" s="56"/>
      <c r="AAR16" s="56"/>
      <c r="AAS16" s="56"/>
      <c r="AAT16" s="56"/>
      <c r="AAU16" s="56"/>
      <c r="AAV16" s="56"/>
      <c r="AAW16" s="56"/>
      <c r="AAX16" s="56"/>
      <c r="AAY16" s="56"/>
      <c r="AAZ16" s="56"/>
      <c r="ABA16" s="56"/>
      <c r="ABB16" s="56"/>
      <c r="ABC16" s="56"/>
      <c r="ABD16" s="56"/>
      <c r="ABE16" s="56"/>
      <c r="ABF16" s="56"/>
      <c r="ABG16" s="56"/>
      <c r="ABH16" s="56"/>
      <c r="ABI16" s="56"/>
      <c r="ABJ16" s="56"/>
      <c r="ABK16" s="56"/>
      <c r="ABL16" s="56"/>
      <c r="ABM16" s="56"/>
      <c r="ABN16" s="56"/>
      <c r="ABO16" s="56"/>
      <c r="ABP16" s="56"/>
      <c r="ABQ16" s="56"/>
      <c r="ABR16" s="56"/>
      <c r="ABS16" s="56"/>
      <c r="ABT16" s="56"/>
      <c r="ABU16" s="56"/>
      <c r="ABV16" s="56"/>
      <c r="ABW16" s="56"/>
      <c r="ABX16" s="56"/>
      <c r="ABY16" s="56"/>
      <c r="ABZ16" s="56"/>
      <c r="ACA16" s="56"/>
      <c r="ACB16" s="56"/>
      <c r="ACC16" s="56"/>
      <c r="ACD16" s="56"/>
      <c r="ACE16" s="56"/>
      <c r="ACF16" s="56"/>
      <c r="ACG16" s="56"/>
      <c r="ACH16" s="56"/>
      <c r="ACI16" s="56"/>
      <c r="ACJ16" s="56"/>
      <c r="ACK16" s="56"/>
      <c r="ACL16" s="56"/>
      <c r="ACM16" s="56"/>
      <c r="ACN16" s="56"/>
      <c r="ACO16" s="56"/>
      <c r="ACP16" s="56"/>
      <c r="ACQ16" s="56"/>
      <c r="ACR16" s="56"/>
      <c r="ACS16" s="56"/>
      <c r="ACT16" s="56"/>
      <c r="ACU16" s="56"/>
      <c r="ACV16" s="56"/>
      <c r="ACW16" s="56"/>
      <c r="ACX16" s="56"/>
      <c r="ACY16" s="56"/>
      <c r="ACZ16" s="56"/>
      <c r="ADA16" s="56"/>
      <c r="ADB16" s="56"/>
      <c r="ADC16" s="56"/>
      <c r="ADD16" s="56"/>
      <c r="ADE16" s="56"/>
      <c r="ADF16" s="56"/>
      <c r="ADG16" s="56"/>
      <c r="ADH16" s="56"/>
      <c r="ADI16" s="56"/>
      <c r="ADJ16" s="56"/>
      <c r="ADK16" s="56"/>
      <c r="ADL16" s="56"/>
      <c r="ADM16" s="56"/>
      <c r="ADN16" s="56"/>
      <c r="ADO16" s="56"/>
      <c r="ADP16" s="56"/>
      <c r="ADQ16" s="56"/>
      <c r="ADR16" s="56"/>
      <c r="ADS16" s="56"/>
      <c r="ADT16" s="56"/>
      <c r="ADU16" s="56"/>
      <c r="ADV16" s="56"/>
      <c r="ADW16" s="56"/>
      <c r="ADX16" s="56"/>
      <c r="ADY16" s="56"/>
      <c r="ADZ16" s="56"/>
      <c r="AEA16" s="56"/>
      <c r="AEB16" s="56"/>
      <c r="AEC16" s="56"/>
      <c r="AED16" s="56"/>
      <c r="AEE16" s="56"/>
      <c r="AEF16" s="56"/>
      <c r="AEG16" s="56"/>
      <c r="AEH16" s="56"/>
      <c r="AEI16" s="56"/>
      <c r="AEJ16" s="56"/>
      <c r="AEK16" s="56"/>
      <c r="AEL16" s="56"/>
      <c r="AEM16" s="56"/>
      <c r="AEN16" s="56"/>
      <c r="AEO16" s="56"/>
      <c r="AEP16" s="56"/>
      <c r="AEQ16" s="56"/>
      <c r="AER16" s="56"/>
      <c r="AES16" s="56"/>
      <c r="AET16" s="56"/>
      <c r="AEU16" s="56"/>
      <c r="AEV16" s="56"/>
      <c r="AEW16" s="56"/>
      <c r="AEX16" s="56"/>
      <c r="AEY16" s="56"/>
      <c r="AEZ16" s="56"/>
      <c r="AFA16" s="56"/>
      <c r="AFB16" s="56"/>
      <c r="AFC16" s="56"/>
      <c r="AFD16" s="56"/>
      <c r="AFE16" s="56"/>
      <c r="AFF16" s="56"/>
      <c r="AFG16" s="56"/>
      <c r="AFH16" s="56"/>
      <c r="AFI16" s="56"/>
      <c r="AFJ16" s="56"/>
      <c r="AFK16" s="56"/>
      <c r="AFL16" s="56"/>
      <c r="AFM16" s="56"/>
      <c r="AFN16" s="56"/>
      <c r="AFO16" s="56"/>
      <c r="AFP16" s="56"/>
      <c r="AFQ16" s="56"/>
      <c r="AFR16" s="56"/>
      <c r="AFS16" s="56"/>
      <c r="AFT16" s="56"/>
      <c r="AFU16" s="56"/>
      <c r="AFV16" s="56"/>
      <c r="AFW16" s="56"/>
      <c r="AFX16" s="56"/>
      <c r="AFY16" s="56"/>
      <c r="AFZ16" s="56"/>
      <c r="AGA16" s="56"/>
      <c r="AGB16" s="56"/>
      <c r="AGC16" s="56"/>
      <c r="AGD16" s="56"/>
      <c r="AGE16" s="56"/>
      <c r="AGF16" s="56"/>
      <c r="AGG16" s="56"/>
      <c r="AGH16" s="56"/>
      <c r="AGI16" s="56"/>
      <c r="AGJ16" s="56"/>
      <c r="AGK16" s="56"/>
      <c r="AGL16" s="56"/>
      <c r="AGM16" s="56"/>
      <c r="AGN16" s="56"/>
      <c r="AGO16" s="56"/>
      <c r="AGP16" s="56"/>
      <c r="AGQ16" s="56"/>
      <c r="AGR16" s="56"/>
      <c r="AGS16" s="56"/>
      <c r="AGT16" s="56"/>
      <c r="AGU16" s="56"/>
      <c r="AGV16" s="56"/>
      <c r="AGW16" s="56"/>
      <c r="AGX16" s="56"/>
      <c r="AGY16" s="56"/>
      <c r="AGZ16" s="56"/>
      <c r="AHA16" s="56"/>
      <c r="AHB16" s="56"/>
      <c r="AHC16" s="56"/>
      <c r="AHD16" s="56"/>
      <c r="AHE16" s="56"/>
      <c r="AHF16" s="56"/>
      <c r="AHG16" s="56"/>
      <c r="AHH16" s="56"/>
      <c r="AHI16" s="56"/>
      <c r="AHJ16" s="56"/>
      <c r="AHK16" s="56"/>
      <c r="AHL16" s="56"/>
      <c r="AHM16" s="56"/>
      <c r="AHN16" s="56"/>
      <c r="AHO16" s="56"/>
      <c r="AHP16" s="56"/>
      <c r="AHQ16" s="56"/>
      <c r="AHR16" s="56"/>
      <c r="AHS16" s="56"/>
      <c r="AHT16" s="56"/>
      <c r="AHU16" s="56"/>
      <c r="AHV16" s="56"/>
      <c r="AHW16" s="56"/>
      <c r="AHX16" s="56"/>
      <c r="AHY16" s="56"/>
      <c r="AHZ16" s="56"/>
      <c r="AIA16" s="56"/>
      <c r="AIB16" s="56"/>
      <c r="AIC16" s="56"/>
      <c r="AID16" s="56"/>
      <c r="AIE16" s="56"/>
      <c r="AIF16" s="56"/>
      <c r="AIG16" s="56"/>
      <c r="AIH16" s="56"/>
      <c r="AII16" s="56"/>
      <c r="AIJ16" s="56"/>
      <c r="AIK16" s="56"/>
      <c r="AIL16" s="56"/>
      <c r="AIM16" s="56"/>
      <c r="AIN16" s="56"/>
      <c r="AIO16" s="56"/>
      <c r="AIP16" s="56"/>
      <c r="AIQ16" s="56"/>
      <c r="AIR16" s="56"/>
      <c r="AIS16" s="56"/>
      <c r="AIT16" s="56"/>
      <c r="AIU16" s="56"/>
      <c r="AIV16" s="56"/>
      <c r="AIW16" s="56"/>
      <c r="AIX16" s="56"/>
      <c r="AIY16" s="56"/>
      <c r="AIZ16" s="56"/>
      <c r="AJA16" s="56"/>
      <c r="AJB16" s="56"/>
      <c r="AJC16" s="56"/>
      <c r="AJD16" s="56"/>
      <c r="AJE16" s="56"/>
      <c r="AJF16" s="56"/>
      <c r="AJG16" s="56"/>
      <c r="AJH16" s="56"/>
      <c r="AJI16" s="56"/>
      <c r="AJJ16" s="56"/>
      <c r="AJK16" s="56"/>
      <c r="AJL16" s="56"/>
      <c r="AJM16" s="56"/>
      <c r="AJN16" s="56"/>
      <c r="AJO16" s="56"/>
      <c r="AJP16" s="56"/>
      <c r="AJQ16" s="56"/>
      <c r="AJR16" s="56"/>
      <c r="AJS16" s="56"/>
      <c r="AJT16" s="56"/>
      <c r="AJU16" s="56"/>
      <c r="AJV16" s="56"/>
      <c r="AJW16" s="56"/>
      <c r="AJX16" s="56"/>
      <c r="AJY16" s="56"/>
      <c r="AJZ16" s="56"/>
      <c r="AKA16" s="56"/>
      <c r="AKB16" s="56"/>
      <c r="AKC16" s="56"/>
      <c r="AKD16" s="56"/>
      <c r="AKE16" s="56"/>
      <c r="AKF16" s="56"/>
      <c r="AKG16" s="56"/>
      <c r="AKH16" s="56"/>
      <c r="AKI16" s="56"/>
      <c r="AKJ16" s="56"/>
      <c r="AKK16" s="56"/>
      <c r="AKL16" s="56"/>
      <c r="AKM16" s="56"/>
      <c r="AKN16" s="56"/>
      <c r="AKO16" s="56"/>
      <c r="AKP16" s="56"/>
      <c r="AKQ16" s="56"/>
      <c r="AKR16" s="56"/>
      <c r="AKS16" s="56"/>
      <c r="AKT16" s="56"/>
      <c r="AKU16" s="56"/>
      <c r="AKV16" s="56"/>
      <c r="AKW16" s="56"/>
      <c r="AKX16" s="56"/>
      <c r="AKY16" s="56"/>
      <c r="AKZ16" s="56"/>
      <c r="ALA16" s="56"/>
      <c r="ALB16" s="56"/>
      <c r="ALC16" s="56"/>
      <c r="ALD16" s="56"/>
      <c r="ALE16" s="56"/>
      <c r="ALF16" s="56"/>
      <c r="ALG16" s="56"/>
      <c r="ALH16" s="56"/>
      <c r="ALI16" s="56"/>
      <c r="ALJ16" s="56"/>
      <c r="ALK16" s="56"/>
      <c r="ALL16" s="56"/>
      <c r="ALM16" s="56"/>
      <c r="ALN16" s="56"/>
      <c r="ALO16" s="56"/>
      <c r="ALP16" s="56"/>
      <c r="ALQ16" s="56"/>
      <c r="ALR16" s="56"/>
      <c r="ALS16" s="56"/>
      <c r="ALT16" s="56"/>
      <c r="ALU16" s="56"/>
      <c r="ALV16" s="56"/>
      <c r="ALW16" s="56"/>
      <c r="ALX16" s="56"/>
    </row>
    <row r="17" customFormat="false" ht="15" hidden="false" customHeight="true" outlineLevel="0" collapsed="false">
      <c r="A17" s="2"/>
      <c r="B17" s="65" t="s">
        <v>96</v>
      </c>
      <c r="C17" s="66" t="n">
        <f aca="false">VLOOKUP($B17,Unidades!$D$5:$N$24,6,FALSE())</f>
        <v>1896.48</v>
      </c>
      <c r="D17" s="66" t="n">
        <f aca="false">VLOOKUP($B17,Unidades!$D$5:$N$24,7,FALSE())</f>
        <v>1716.77</v>
      </c>
      <c r="E17" s="66" t="n">
        <f aca="false">VLOOKUP($B17,Unidades!$D$5:$N$24,8,FALSE())</f>
        <v>179.71</v>
      </c>
      <c r="F17" s="66" t="n">
        <f aca="false">VLOOKUP($B17,Unidades!$D$5:$N$24,9,FALSE())</f>
        <v>0</v>
      </c>
      <c r="G17" s="66" t="n">
        <f aca="false">D17+E17*$E$6+F17*$F$6</f>
        <v>1779.6685</v>
      </c>
      <c r="H17" s="67" t="n">
        <f aca="false">IF(G17&lt;750,1.5,IF(G17&lt;2000,2,IF(G17&lt;4000,3,12)))</f>
        <v>2</v>
      </c>
      <c r="I17" s="67" t="n">
        <f aca="false">$I$6*H17</f>
        <v>2.4</v>
      </c>
      <c r="J17" s="67" t="str">
        <f aca="false">VLOOKUP($B17,Unidades!$D$5:$N$24,10,FALSE())</f>
        <v>SIM</v>
      </c>
      <c r="K17" s="67" t="str">
        <f aca="false">VLOOKUP($B17,Unidades!$D$5:$N$24,11,FALSE())</f>
        <v>NÃO</v>
      </c>
      <c r="L17" s="67" t="n">
        <f aca="false">$L$6*H17+(IF(J17="SIM",$J$6,0))</f>
        <v>4.2</v>
      </c>
      <c r="M17" s="67" t="n">
        <f aca="false">$M$6*H17+(IF(J17="SIM",$J$6,0))+(IF(K17="SIM",$K$6,0))</f>
        <v>4.2</v>
      </c>
      <c r="N17" s="67" t="n">
        <f aca="false">H17*12+I17*4+L17*2+M17</f>
        <v>46.2</v>
      </c>
      <c r="O17" s="68" t="n">
        <f aca="false">IF(K17="não", N17*(C$21+D$21),N17*(C$21+D$21)+(M17*+E$21))</f>
        <v>2772.01848</v>
      </c>
      <c r="P17" s="69"/>
      <c r="Q17" s="23" t="str">
        <f aca="false">B17</f>
        <v>GEX/APS BLUMENAU</v>
      </c>
      <c r="R17" s="25" t="n">
        <f aca="false">H17*($C$21+$D$21)</f>
        <v>120.0008</v>
      </c>
      <c r="S17" s="25" t="n">
        <f aca="false">I17*($C$21+$D$21)</f>
        <v>144.00096</v>
      </c>
      <c r="T17" s="25" t="n">
        <f aca="false">L17*($C$21+$D$21)</f>
        <v>252.00168</v>
      </c>
      <c r="U17" s="25" t="n">
        <f aca="false">IF(K17="não",M17*($C$21+$D$21),M17*(C$21+D$21+E$21))</f>
        <v>252.00168</v>
      </c>
      <c r="V17" s="25" t="n">
        <f aca="false">VLOOKUP(Q17,'Desl. Base Blumenau'!$C$5:$S$15,13,FALSE())*($C$21+$D$21+$E$21*(VLOOKUP(Q17,'Desl. Base Blumenau'!$C$5:$S$15,17,FALSE())/12))</f>
        <v>4.00002666666667</v>
      </c>
      <c r="W17" s="25" t="n">
        <f aca="false">VLOOKUP(Q17,'Desl. Base Blumenau'!$C$5:$S$15,15,FALSE())*(2+(VLOOKUP(Q17,'Desl. Base Blumenau'!$C$5:$S$15,17,FALSE())/12))</f>
        <v>0</v>
      </c>
      <c r="X17" s="25" t="n">
        <f aca="false">VLOOKUP(Q17,'Desl. Base Blumenau'!$C$5:$Q$15,14,FALSE())</f>
        <v>0</v>
      </c>
      <c r="Y17" s="25" t="n">
        <f aca="false">VLOOKUP(Q17,'Desl. Base Blumenau'!$C$5:$Q$15,13,FALSE())*'Desl. Base Blumenau'!$E$20+'Desl. Base Blumenau'!$E$21*N17/12</f>
        <v>28.8846666666667</v>
      </c>
      <c r="Z17" s="25" t="n">
        <f aca="false">(H17/$AC$5)*'Equipe Técnica'!$C$13</f>
        <v>537.482888643087</v>
      </c>
      <c r="AA17" s="25" t="n">
        <f aca="false">(I17/$AC$5)*'Equipe Técnica'!$C$13</f>
        <v>644.979466371704</v>
      </c>
      <c r="AB17" s="25" t="n">
        <f aca="false">(L17/$AC$5)*'Equipe Técnica'!$C$13</f>
        <v>1128.71406615048</v>
      </c>
      <c r="AC17" s="25" t="n">
        <f aca="false">(M17/$AC$5)*'Equipe Técnica'!$C$13</f>
        <v>1128.71406615048</v>
      </c>
      <c r="AD17" s="25" t="n">
        <f aca="false">R17+(($V17+$W17+$X17+$Y17)*12/19)+$Z17</f>
        <v>678.252968643087</v>
      </c>
      <c r="AE17" s="25" t="n">
        <f aca="false">S17+(($V17+$W17+$X17+$Y17)*12/19)+$AA17</f>
        <v>809.749706371704</v>
      </c>
      <c r="AF17" s="25" t="n">
        <f aca="false">T17+(($V17+$W17+$X17+$Y17)*12/19)+$AB17</f>
        <v>1401.48502615048</v>
      </c>
      <c r="AG17" s="25" t="n">
        <f aca="false">U17+(($V17+$W17+$X17+$Y17)*12/19)+$AC17</f>
        <v>1401.48502615048</v>
      </c>
      <c r="AH17" s="2"/>
      <c r="AI17" s="23" t="str">
        <f aca="false">B17</f>
        <v>GEX/APS BLUMENAU</v>
      </c>
      <c r="AJ17" s="70" t="n">
        <f aca="false">VLOOKUP(AI17,Unidades!D$5:H$24,5,)</f>
        <v>0.2624</v>
      </c>
      <c r="AK17" s="49" t="n">
        <f aca="false">AD17*(1+$AJ17)</f>
        <v>856.226547615033</v>
      </c>
      <c r="AL17" s="49" t="n">
        <f aca="false">AE17*(1+$AJ17)</f>
        <v>1022.22802932364</v>
      </c>
      <c r="AM17" s="49" t="n">
        <f aca="false">AF17*(1+$AJ17)</f>
        <v>1769.23469701237</v>
      </c>
      <c r="AN17" s="49" t="n">
        <f aca="false">AG17*(1+$AJ17)</f>
        <v>1769.23469701237</v>
      </c>
      <c r="AO17" s="49" t="n">
        <f aca="false">((AK17*12)+(AL17*4)+(AM17*2)+AN17)/12</f>
        <v>1639.27789830934</v>
      </c>
      <c r="AP17" s="49" t="n">
        <f aca="false">AO17*$AP$6</f>
        <v>4321.73264099735</v>
      </c>
      <c r="AQ17" s="49" t="n">
        <f aca="false">AO17+AP17</f>
        <v>5961.01053930668</v>
      </c>
      <c r="AR17" s="71"/>
      <c r="AS17" s="71"/>
      <c r="AT17" s="71"/>
      <c r="AU17" s="71"/>
      <c r="AV17" s="71"/>
      <c r="AW17" s="71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customFormat="false" ht="19.5" hidden="false" customHeight="true" outlineLevel="0" collapsed="false">
      <c r="A18" s="56"/>
      <c r="B18" s="33"/>
      <c r="C18" s="75" t="n">
        <f aca="false">SUM(C7:C17)</f>
        <v>12059.1</v>
      </c>
      <c r="D18" s="75" t="n">
        <f aca="false">SUM(D7:D17)</f>
        <v>7463.49</v>
      </c>
      <c r="E18" s="75" t="n">
        <f aca="false">SUM(E7:E17)</f>
        <v>2930.45</v>
      </c>
      <c r="F18" s="75" t="n">
        <f aca="false">SUM(F7:F17)</f>
        <v>1665.16</v>
      </c>
      <c r="G18" s="75" t="n">
        <f aca="false">SUM(G7:G17)</f>
        <v>8655.6635</v>
      </c>
      <c r="H18" s="76" t="n">
        <f aca="false">SUM(H7:H17)</f>
        <v>18.5</v>
      </c>
      <c r="I18" s="76" t="n">
        <f aca="false">SUM(I7:I17)</f>
        <v>22.2</v>
      </c>
      <c r="J18" s="76" t="n">
        <f aca="false">COUNTIF(J7:J17,"SIM")</f>
        <v>4</v>
      </c>
      <c r="K18" s="76" t="n">
        <f aca="false">COUNTIF(K7:K17,"SIM")</f>
        <v>3</v>
      </c>
      <c r="L18" s="76" t="n">
        <f aca="false">SUM(L7:L17)</f>
        <v>28.35</v>
      </c>
      <c r="M18" s="76" t="n">
        <f aca="false">SUM(M7:M17)</f>
        <v>40.35</v>
      </c>
      <c r="N18" s="76" t="n">
        <f aca="false">SUM(N7:N17)</f>
        <v>407.85</v>
      </c>
      <c r="O18" s="77" t="n">
        <f aca="false">SUM(O7:O17)</f>
        <v>25292.25764</v>
      </c>
      <c r="P18" s="78"/>
      <c r="Q18" s="76" t="s">
        <v>97</v>
      </c>
      <c r="R18" s="79" t="n">
        <f aca="false">SUM(R7:R17)</f>
        <v>1110.0074</v>
      </c>
      <c r="S18" s="79" t="n">
        <f aca="false">SUM(S7:S17)</f>
        <v>1332.00888</v>
      </c>
      <c r="T18" s="79" t="n">
        <f aca="false">SUM(T7:T17)</f>
        <v>1701.01134</v>
      </c>
      <c r="U18" s="79" t="n">
        <f aca="false">SUM(U7:U17)</f>
        <v>3242.11064</v>
      </c>
      <c r="V18" s="79" t="n">
        <f aca="false">SUM(V7:V17)</f>
        <v>687.864912222222</v>
      </c>
      <c r="W18" s="79" t="n">
        <f aca="false">SUM(W7:W17)</f>
        <v>0</v>
      </c>
      <c r="X18" s="79" t="n">
        <f aca="false">SUM(X7:X17)</f>
        <v>0</v>
      </c>
      <c r="Y18" s="79" t="n">
        <f aca="false">SUM(Y7:Y17)</f>
        <v>827.131</v>
      </c>
      <c r="Z18" s="79" t="n">
        <f aca="false">SUM(Z7:Z17)</f>
        <v>4971.71671994855</v>
      </c>
      <c r="AA18" s="79" t="n">
        <f aca="false">SUM(AA7:AA17)</f>
        <v>5966.06006393826</v>
      </c>
      <c r="AB18" s="79" t="n">
        <f aca="false">SUM(AB7:AB17)</f>
        <v>7618.81994651576</v>
      </c>
      <c r="AC18" s="79" t="n">
        <f aca="false">SUM(AC7:AC17)</f>
        <v>10843.7172783743</v>
      </c>
      <c r="AD18" s="79" t="n">
        <f aca="false">SUM(AD7:AD17)</f>
        <v>7038.56364345732</v>
      </c>
      <c r="AE18" s="79" t="n">
        <f aca="false">SUM(AE7:AE17)</f>
        <v>8254.90846744703</v>
      </c>
      <c r="AF18" s="79" t="n">
        <f aca="false">SUM(AF7:AF17)</f>
        <v>10276.6708100245</v>
      </c>
      <c r="AG18" s="79" t="n">
        <f aca="false">SUM(AG7:AG17)</f>
        <v>15042.667441883</v>
      </c>
      <c r="AH18" s="56"/>
      <c r="AI18" s="76" t="s">
        <v>97</v>
      </c>
      <c r="AJ18" s="76"/>
      <c r="AK18" s="80" t="n">
        <f aca="false">SUM(AK7:AK17)</f>
        <v>8705.25568046753</v>
      </c>
      <c r="AL18" s="80" t="n">
        <f aca="false">SUM(AL7:AL17)</f>
        <v>10210.2950173035</v>
      </c>
      <c r="AM18" s="80" t="n">
        <f aca="false">SUM(AM7:AM17)</f>
        <v>12720.2751603014</v>
      </c>
      <c r="AN18" s="80" t="n">
        <f aca="false">SUM(AN7:AN17)</f>
        <v>18587.2532705824</v>
      </c>
      <c r="AO18" s="80" t="n">
        <f aca="false">SUM(AO7:AO17)</f>
        <v>15777.6709855008</v>
      </c>
      <c r="AP18" s="80" t="n">
        <f aca="false">SUM(AP7:AP17)</f>
        <v>41595.6780526839</v>
      </c>
      <c r="AQ18" s="80" t="n">
        <f aca="false">SUM(AQ7:AQ17)</f>
        <v>57373.3490381847</v>
      </c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  <c r="IR18" s="56"/>
      <c r="IS18" s="56"/>
      <c r="IT18" s="56"/>
      <c r="IU18" s="56"/>
      <c r="IV18" s="56"/>
    </row>
    <row r="19" customFormat="false" ht="18" hidden="false" customHeight="true" outlineLevel="0" collapsed="false">
      <c r="H19" s="81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57"/>
      <c r="AE19" s="57"/>
      <c r="AF19" s="57"/>
      <c r="AG19" s="57"/>
    </row>
    <row r="20" customFormat="false" ht="39.75" hidden="false" customHeight="true" outlineLevel="0" collapsed="false">
      <c r="B20" s="48" t="s">
        <v>30</v>
      </c>
      <c r="C20" s="83" t="s">
        <v>98</v>
      </c>
      <c r="D20" s="83" t="s">
        <v>99</v>
      </c>
      <c r="E20" s="83" t="s">
        <v>100</v>
      </c>
      <c r="R20" s="84"/>
      <c r="Z20" s="84"/>
      <c r="AA20" s="84"/>
      <c r="AB20" s="84"/>
      <c r="AC20" s="84"/>
    </row>
    <row r="21" customFormat="false" ht="18" hidden="false" customHeight="true" outlineLevel="0" collapsed="false">
      <c r="B21" s="48"/>
      <c r="C21" s="25" t="n">
        <f aca="false">'Comp. Oficial de Manutenção'!D11</f>
        <v>34.2904</v>
      </c>
      <c r="D21" s="25" t="n">
        <v>25.71</v>
      </c>
      <c r="E21" s="25" t="n">
        <v>45.49</v>
      </c>
    </row>
    <row r="22" customFormat="false" ht="28.5" hidden="false" customHeight="true" outlineLevel="0" collapsed="false">
      <c r="B22" s="52" t="s">
        <v>37</v>
      </c>
    </row>
    <row r="23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8:AJ18"/>
    <mergeCell ref="B20:B21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E20" activeCellId="0" sqref="E2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3" min="4" style="85" width="9.62"/>
    <col collapsed="false" customWidth="true" hidden="false" outlineLevel="0" max="15" min="14" style="86" width="9.62"/>
    <col collapsed="false" customWidth="true" hidden="false" outlineLevel="0" max="17" min="16" style="85" width="9.62"/>
    <col collapsed="false" customWidth="true" hidden="false" outlineLevel="0" max="18" min="18" style="85" width="11.38"/>
    <col collapsed="false" customWidth="true" hidden="false" outlineLevel="0" max="19" min="19" style="85" width="16.26"/>
    <col collapsed="false" customWidth="true" hidden="false" outlineLevel="0" max="260" min="20" style="85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"&amp;Resumo!B5</f>
        <v>DESLOCAMENTO BASE BLUMENAU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2" t="s">
        <v>101</v>
      </c>
      <c r="C4" s="22" t="str">
        <f aca="false">"Rota (saída e retorno "&amp;Resumo!B5&amp;")"</f>
        <v>Rota (saída e retorno BLUMENAU)</v>
      </c>
      <c r="D4" s="22" t="s">
        <v>102</v>
      </c>
      <c r="E4" s="22" t="s">
        <v>103</v>
      </c>
      <c r="F4" s="22" t="s">
        <v>104</v>
      </c>
      <c r="G4" s="22" t="s">
        <v>105</v>
      </c>
      <c r="H4" s="22" t="s">
        <v>106</v>
      </c>
      <c r="I4" s="22" t="s">
        <v>107</v>
      </c>
      <c r="J4" s="22" t="s">
        <v>108</v>
      </c>
      <c r="K4" s="22" t="s">
        <v>109</v>
      </c>
      <c r="L4" s="22" t="s">
        <v>110</v>
      </c>
      <c r="M4" s="88" t="s">
        <v>111</v>
      </c>
      <c r="N4" s="22" t="s">
        <v>112</v>
      </c>
      <c r="O4" s="88" t="s">
        <v>113</v>
      </c>
      <c r="P4" s="22" t="s">
        <v>114</v>
      </c>
      <c r="Q4" s="88" t="s">
        <v>67</v>
      </c>
      <c r="R4" s="33" t="s">
        <v>115</v>
      </c>
      <c r="S4" s="33" t="s">
        <v>116</v>
      </c>
    </row>
    <row r="5" customFormat="false" ht="15.75" hidden="false" customHeight="true" outlineLevel="0" collapsed="false">
      <c r="B5" s="51" t="n">
        <v>1</v>
      </c>
      <c r="C5" s="89" t="s">
        <v>96</v>
      </c>
      <c r="D5" s="90" t="n">
        <v>1.7</v>
      </c>
      <c r="E5" s="90" t="n">
        <v>1.3</v>
      </c>
      <c r="F5" s="90" t="n">
        <v>0</v>
      </c>
      <c r="G5" s="91" t="n">
        <f aca="false">SUM(D5:F5)</f>
        <v>3</v>
      </c>
      <c r="H5" s="92" t="n">
        <v>4</v>
      </c>
      <c r="I5" s="92" t="n">
        <v>4</v>
      </c>
      <c r="J5" s="92" t="n">
        <v>0</v>
      </c>
      <c r="K5" s="93" t="n">
        <f aca="false">SUM(H5:J5)</f>
        <v>8</v>
      </c>
      <c r="L5" s="94" t="n">
        <f aca="false">K5/60</f>
        <v>0.133333333333333</v>
      </c>
      <c r="M5" s="95" t="n">
        <v>0</v>
      </c>
      <c r="N5" s="96" t="n">
        <v>2</v>
      </c>
      <c r="O5" s="97" t="n">
        <f aca="false">L5/N5</f>
        <v>0.0666666666666667</v>
      </c>
      <c r="P5" s="98" t="n">
        <f aca="false">M5/N5</f>
        <v>0</v>
      </c>
      <c r="Q5" s="99" t="n">
        <v>0</v>
      </c>
      <c r="R5" s="100" t="str">
        <f aca="false">INDEX('Base Blumenau'!$K$7:$K$25,MATCH(C5,'Base Blumenau'!$B$7:$B$25,0))</f>
        <v>NÃO</v>
      </c>
      <c r="S5" s="101" t="n">
        <v>0</v>
      </c>
    </row>
    <row r="6" customFormat="false" ht="15.75" hidden="false" customHeight="true" outlineLevel="0" collapsed="false">
      <c r="B6" s="51"/>
      <c r="C6" s="89" t="s">
        <v>95</v>
      </c>
      <c r="D6" s="90"/>
      <c r="E6" s="90"/>
      <c r="F6" s="90"/>
      <c r="G6" s="91"/>
      <c r="H6" s="92"/>
      <c r="I6" s="92"/>
      <c r="J6" s="92"/>
      <c r="K6" s="93"/>
      <c r="L6" s="94"/>
      <c r="M6" s="95"/>
      <c r="N6" s="96"/>
      <c r="O6" s="102" t="n">
        <f aca="false">O5</f>
        <v>0.0666666666666667</v>
      </c>
      <c r="P6" s="103" t="n">
        <f aca="false">P5</f>
        <v>0</v>
      </c>
      <c r="Q6" s="104" t="n">
        <v>0</v>
      </c>
      <c r="R6" s="100" t="str">
        <f aca="false">INDEX('Base Blumenau'!$K$7:$K$25,MATCH(C6,'Base Blumenau'!$B$7:$B$25,0))</f>
        <v>NÃO</v>
      </c>
      <c r="S6" s="101" t="n">
        <v>0</v>
      </c>
    </row>
    <row r="7" customFormat="false" ht="15.75" hidden="false" customHeight="true" outlineLevel="0" collapsed="false">
      <c r="B7" s="51" t="n">
        <v>2</v>
      </c>
      <c r="C7" s="89" t="s">
        <v>85</v>
      </c>
      <c r="D7" s="90" t="n">
        <v>75.8</v>
      </c>
      <c r="E7" s="90" t="n">
        <v>27.9</v>
      </c>
      <c r="F7" s="90" t="n">
        <v>95.4</v>
      </c>
      <c r="G7" s="91" t="n">
        <f aca="false">SUM(D7:F7)</f>
        <v>199.1</v>
      </c>
      <c r="H7" s="92" t="n">
        <v>71</v>
      </c>
      <c r="I7" s="92" t="n">
        <v>30</v>
      </c>
      <c r="J7" s="92" t="n">
        <v>102</v>
      </c>
      <c r="K7" s="93" t="n">
        <f aca="false">SUM(H7:J7)</f>
        <v>203</v>
      </c>
      <c r="L7" s="94" t="n">
        <f aca="false">K7/60</f>
        <v>3.38333333333333</v>
      </c>
      <c r="M7" s="95" t="n">
        <v>0</v>
      </c>
      <c r="N7" s="105" t="n">
        <v>2</v>
      </c>
      <c r="O7" s="106" t="n">
        <f aca="false">L7/N7</f>
        <v>1.69166666666667</v>
      </c>
      <c r="P7" s="107" t="n">
        <f aca="false">M7/N7</f>
        <v>0</v>
      </c>
      <c r="Q7" s="99" t="n">
        <v>0</v>
      </c>
      <c r="R7" s="100" t="str">
        <f aca="false">INDEX('Base Blumenau'!$K$7:$K$25,MATCH(C7,'Base Blumenau'!$B$7:$B$25,0))</f>
        <v>SIM</v>
      </c>
      <c r="S7" s="101" t="n">
        <v>1</v>
      </c>
    </row>
    <row r="8" customFormat="false" ht="15.75" hidden="false" customHeight="true" outlineLevel="0" collapsed="false">
      <c r="B8" s="51"/>
      <c r="C8" s="89" t="s">
        <v>92</v>
      </c>
      <c r="D8" s="90"/>
      <c r="E8" s="90"/>
      <c r="F8" s="90"/>
      <c r="G8" s="91"/>
      <c r="H8" s="92"/>
      <c r="I8" s="92"/>
      <c r="J8" s="92"/>
      <c r="K8" s="93"/>
      <c r="L8" s="94"/>
      <c r="M8" s="95"/>
      <c r="N8" s="105"/>
      <c r="O8" s="102" t="n">
        <f aca="false">O7</f>
        <v>1.69166666666667</v>
      </c>
      <c r="P8" s="108" t="n">
        <f aca="false">P7</f>
        <v>0</v>
      </c>
      <c r="Q8" s="109" t="n">
        <v>0</v>
      </c>
      <c r="R8" s="100" t="str">
        <f aca="false">INDEX('Base Blumenau'!$K$7:$K$25,MATCH(C8,'Base Blumenau'!$B$7:$B$25,0))</f>
        <v>SIM</v>
      </c>
      <c r="S8" s="101" t="n">
        <v>1</v>
      </c>
    </row>
    <row r="9" customFormat="false" ht="15.75" hidden="false" customHeight="true" outlineLevel="0" collapsed="false">
      <c r="B9" s="51" t="n">
        <v>3</v>
      </c>
      <c r="C9" s="89" t="s">
        <v>81</v>
      </c>
      <c r="D9" s="90" t="n">
        <v>68.1</v>
      </c>
      <c r="E9" s="90" t="n">
        <v>41.8</v>
      </c>
      <c r="F9" s="90" t="n">
        <v>40.8</v>
      </c>
      <c r="G9" s="91" t="n">
        <f aca="false">SUM(D9:F9)</f>
        <v>150.7</v>
      </c>
      <c r="H9" s="90" t="n">
        <v>58</v>
      </c>
      <c r="I9" s="90" t="n">
        <v>41</v>
      </c>
      <c r="J9" s="90" t="n">
        <v>52</v>
      </c>
      <c r="K9" s="91" t="n">
        <f aca="false">SUM(H9:J9)</f>
        <v>151</v>
      </c>
      <c r="L9" s="94" t="n">
        <f aca="false">K9/60</f>
        <v>2.51666666666667</v>
      </c>
      <c r="M9" s="95" t="n">
        <v>0</v>
      </c>
      <c r="N9" s="105" t="n">
        <v>2</v>
      </c>
      <c r="O9" s="97" t="n">
        <f aca="false">L9/N9</f>
        <v>1.25833333333333</v>
      </c>
      <c r="P9" s="99" t="n">
        <f aca="false">M9/N9</f>
        <v>0</v>
      </c>
      <c r="Q9" s="104" t="n">
        <v>0</v>
      </c>
      <c r="R9" s="100" t="str">
        <f aca="false">INDEX('Base Blumenau'!$K$7:$K$25,MATCH(C9,'Base Blumenau'!$B$7:$B$25,0))</f>
        <v>NÃO</v>
      </c>
      <c r="S9" s="101" t="n">
        <v>0</v>
      </c>
    </row>
    <row r="10" customFormat="false" ht="15.75" hidden="false" customHeight="true" outlineLevel="0" collapsed="false">
      <c r="B10" s="51"/>
      <c r="C10" s="89" t="s">
        <v>83</v>
      </c>
      <c r="D10" s="90"/>
      <c r="E10" s="90"/>
      <c r="F10" s="90"/>
      <c r="G10" s="91"/>
      <c r="H10" s="90"/>
      <c r="I10" s="90"/>
      <c r="J10" s="90"/>
      <c r="K10" s="91"/>
      <c r="L10" s="94"/>
      <c r="M10" s="95"/>
      <c r="N10" s="105"/>
      <c r="O10" s="102" t="n">
        <f aca="false">O9</f>
        <v>1.25833333333333</v>
      </c>
      <c r="P10" s="109" t="n">
        <f aca="false">P9</f>
        <v>0</v>
      </c>
      <c r="Q10" s="109" t="n">
        <v>0</v>
      </c>
      <c r="R10" s="100" t="str">
        <f aca="false">INDEX('Base Blumenau'!$K$7:$K$25,MATCH(C10,'Base Blumenau'!$B$7:$B$25,0))</f>
        <v>NÃO</v>
      </c>
      <c r="S10" s="101" t="n">
        <v>0</v>
      </c>
    </row>
    <row r="11" customFormat="false" ht="15.75" hidden="false" customHeight="true" outlineLevel="0" collapsed="false">
      <c r="B11" s="51" t="n">
        <v>4</v>
      </c>
      <c r="C11" s="89" t="s">
        <v>87</v>
      </c>
      <c r="D11" s="90" t="n">
        <v>60.3</v>
      </c>
      <c r="E11" s="90" t="n">
        <v>26.8</v>
      </c>
      <c r="F11" s="90" t="n">
        <v>61.9</v>
      </c>
      <c r="G11" s="91" t="n">
        <f aca="false">SUM(D11:F11)</f>
        <v>149</v>
      </c>
      <c r="H11" s="90" t="n">
        <v>59</v>
      </c>
      <c r="I11" s="90" t="n">
        <v>31</v>
      </c>
      <c r="J11" s="90" t="n">
        <v>53</v>
      </c>
      <c r="K11" s="91" t="n">
        <f aca="false">SUM(H11:J11)</f>
        <v>143</v>
      </c>
      <c r="L11" s="94" t="n">
        <f aca="false">K11/60</f>
        <v>2.38333333333333</v>
      </c>
      <c r="M11" s="95" t="n">
        <v>0</v>
      </c>
      <c r="N11" s="105" t="n">
        <v>2</v>
      </c>
      <c r="O11" s="97" t="n">
        <f aca="false">L11/N11</f>
        <v>1.19166666666667</v>
      </c>
      <c r="P11" s="99" t="n">
        <f aca="false">M11/N11</f>
        <v>0</v>
      </c>
      <c r="Q11" s="99" t="n">
        <v>0</v>
      </c>
      <c r="R11" s="100" t="str">
        <f aca="false">INDEX('Base Blumenau'!$K$7:$K$25,MATCH(C11,'Base Blumenau'!$B$7:$B$25,0))</f>
        <v>SIM</v>
      </c>
      <c r="S11" s="101" t="n">
        <v>1</v>
      </c>
    </row>
    <row r="12" customFormat="false" ht="15.75" hidden="false" customHeight="true" outlineLevel="0" collapsed="false">
      <c r="B12" s="51"/>
      <c r="C12" s="89" t="s">
        <v>89</v>
      </c>
      <c r="D12" s="90"/>
      <c r="E12" s="90"/>
      <c r="F12" s="90"/>
      <c r="G12" s="91"/>
      <c r="H12" s="90"/>
      <c r="I12" s="90"/>
      <c r="J12" s="90"/>
      <c r="K12" s="91"/>
      <c r="L12" s="94"/>
      <c r="M12" s="95" t="n">
        <v>0</v>
      </c>
      <c r="N12" s="105"/>
      <c r="O12" s="102" t="n">
        <f aca="false">O11</f>
        <v>1.19166666666667</v>
      </c>
      <c r="P12" s="109" t="n">
        <f aca="false">P11</f>
        <v>0</v>
      </c>
      <c r="Q12" s="109" t="n">
        <v>0</v>
      </c>
      <c r="R12" s="100" t="str">
        <f aca="false">INDEX('Base Blumenau'!$K$7:$K$25,MATCH(C12,'Base Blumenau'!$B$7:$B$25,0))</f>
        <v>NÃO</v>
      </c>
      <c r="S12" s="101" t="n">
        <v>1</v>
      </c>
    </row>
    <row r="13" customFormat="false" ht="14.25" hidden="false" customHeight="false" outlineLevel="0" collapsed="false">
      <c r="B13" s="51" t="n">
        <v>5</v>
      </c>
      <c r="C13" s="89" t="s">
        <v>86</v>
      </c>
      <c r="D13" s="90" t="n">
        <v>24.8</v>
      </c>
      <c r="E13" s="90" t="n">
        <v>11.1</v>
      </c>
      <c r="F13" s="90" t="n">
        <v>29.1</v>
      </c>
      <c r="G13" s="91" t="n">
        <f aca="false">SUM(D13:F13)</f>
        <v>65</v>
      </c>
      <c r="H13" s="90" t="n">
        <v>33</v>
      </c>
      <c r="I13" s="90" t="n">
        <v>15</v>
      </c>
      <c r="J13" s="90" t="n">
        <v>37</v>
      </c>
      <c r="K13" s="91" t="n">
        <f aca="false">SUM(H13:J13)</f>
        <v>85</v>
      </c>
      <c r="L13" s="94" t="n">
        <f aca="false">K13/60</f>
        <v>1.41666666666667</v>
      </c>
      <c r="M13" s="95" t="n">
        <v>0</v>
      </c>
      <c r="N13" s="105" t="n">
        <v>2</v>
      </c>
      <c r="O13" s="97" t="n">
        <f aca="false">L13/N13</f>
        <v>0.708333333333333</v>
      </c>
      <c r="P13" s="99" t="n">
        <f aca="false">M13/N13</f>
        <v>0</v>
      </c>
      <c r="Q13" s="99" t="n">
        <v>0</v>
      </c>
      <c r="R13" s="100" t="str">
        <f aca="false">INDEX('Base Blumenau'!$K$7:$K$25,MATCH(C13,'Base Blumenau'!$B$7:$B$25,0))</f>
        <v>NÃO</v>
      </c>
      <c r="S13" s="101" t="n">
        <v>0</v>
      </c>
    </row>
    <row r="14" customFormat="false" ht="15.75" hidden="false" customHeight="true" outlineLevel="0" collapsed="false">
      <c r="B14" s="51"/>
      <c r="C14" s="89" t="s">
        <v>93</v>
      </c>
      <c r="D14" s="90"/>
      <c r="E14" s="90"/>
      <c r="F14" s="90"/>
      <c r="G14" s="91"/>
      <c r="H14" s="90"/>
      <c r="I14" s="90"/>
      <c r="J14" s="90"/>
      <c r="K14" s="91"/>
      <c r="L14" s="94"/>
      <c r="M14" s="95"/>
      <c r="N14" s="105"/>
      <c r="O14" s="102" t="n">
        <f aca="false">O13</f>
        <v>0.708333333333333</v>
      </c>
      <c r="P14" s="109" t="n">
        <f aca="false">P13</f>
        <v>0</v>
      </c>
      <c r="Q14" s="109" t="n">
        <v>0</v>
      </c>
      <c r="R14" s="100" t="str">
        <f aca="false">INDEX('Base Blumenau'!$K$7:$K$25,MATCH(C14,'Base Blumenau'!$B$7:$B$25,0))</f>
        <v>NÃO</v>
      </c>
      <c r="S14" s="101" t="n">
        <v>0</v>
      </c>
    </row>
    <row r="15" customFormat="false" ht="15.75" hidden="false" customHeight="true" outlineLevel="0" collapsed="false">
      <c r="B15" s="110" t="n">
        <v>6</v>
      </c>
      <c r="C15" s="89" t="s">
        <v>90</v>
      </c>
      <c r="D15" s="111" t="n">
        <v>30</v>
      </c>
      <c r="E15" s="111" t="n">
        <v>31.3</v>
      </c>
      <c r="F15" s="111" t="n">
        <v>0</v>
      </c>
      <c r="G15" s="112" t="n">
        <f aca="false">SUM(D15:F15)</f>
        <v>61.3</v>
      </c>
      <c r="H15" s="90" t="n">
        <v>37</v>
      </c>
      <c r="I15" s="90" t="n">
        <v>39</v>
      </c>
      <c r="J15" s="90" t="n">
        <v>0</v>
      </c>
      <c r="K15" s="91" t="n">
        <f aca="false">SUM(H15:J15)</f>
        <v>76</v>
      </c>
      <c r="L15" s="113" t="n">
        <f aca="false">K15/60</f>
        <v>1.26666666666667</v>
      </c>
      <c r="M15" s="114" t="n">
        <v>0</v>
      </c>
      <c r="N15" s="115" t="n">
        <v>1</v>
      </c>
      <c r="O15" s="116" t="n">
        <f aca="false">L15/N15</f>
        <v>1.26666666666667</v>
      </c>
      <c r="P15" s="114" t="n">
        <f aca="false">M15/N15</f>
        <v>0</v>
      </c>
      <c r="Q15" s="117" t="n">
        <v>0</v>
      </c>
      <c r="R15" s="100" t="str">
        <f aca="false">INDEX('Base Blumenau'!$K$7:$K$25,MATCH(C15,'Base Blumenau'!$B$7:$B$25,0))</f>
        <v>NÃO</v>
      </c>
      <c r="S15" s="101" t="n">
        <v>0</v>
      </c>
    </row>
    <row r="16" customFormat="false" ht="19.5" hidden="false" customHeight="true" outlineLevel="0" collapsed="false">
      <c r="B16" s="118" t="s">
        <v>97</v>
      </c>
      <c r="C16" s="118"/>
      <c r="D16" s="118"/>
      <c r="E16" s="118"/>
      <c r="F16" s="118"/>
      <c r="G16" s="119" t="n">
        <f aca="false">SUM(G5:G15)</f>
        <v>628.1</v>
      </c>
      <c r="H16" s="119" t="s">
        <v>97</v>
      </c>
      <c r="I16" s="119"/>
      <c r="J16" s="119"/>
      <c r="K16" s="119" t="n">
        <f aca="false">SUM(K5:K15)</f>
        <v>666</v>
      </c>
      <c r="L16" s="120" t="n">
        <f aca="false">SUM(L5:L15)</f>
        <v>11.1</v>
      </c>
      <c r="M16" s="121" t="n">
        <f aca="false">SUM(M5:M15)</f>
        <v>0</v>
      </c>
      <c r="N16" s="122" t="n">
        <f aca="false">SUM(N5:N15)</f>
        <v>11</v>
      </c>
      <c r="O16" s="123"/>
      <c r="P16" s="124"/>
      <c r="Q16" s="121" t="n">
        <f aca="false">SUM(Q5:Q15)</f>
        <v>0</v>
      </c>
      <c r="R16" s="121"/>
      <c r="S16" s="122"/>
    </row>
    <row r="17" customFormat="false" ht="16.5" hidden="false" customHeight="true" outlineLevel="0" collapsed="false">
      <c r="B17" s="125"/>
      <c r="C17" s="125"/>
      <c r="D17" s="125"/>
      <c r="E17" s="125"/>
      <c r="F17" s="125"/>
    </row>
    <row r="18" customFormat="false" ht="18.75" hidden="false" customHeight="true" outlineLevel="0" collapsed="false">
      <c r="B18" s="126" t="s">
        <v>117</v>
      </c>
      <c r="C18" s="126"/>
      <c r="D18" s="126"/>
      <c r="E18" s="126"/>
      <c r="F18" s="125"/>
      <c r="G18" s="125"/>
      <c r="H18" s="125"/>
      <c r="I18" s="125"/>
      <c r="J18" s="125"/>
      <c r="K18" s="125"/>
      <c r="L18" s="125"/>
      <c r="M18" s="125"/>
      <c r="N18" s="127"/>
      <c r="O18" s="127"/>
    </row>
    <row r="19" customFormat="false" ht="18.75" hidden="false" customHeight="true" outlineLevel="0" collapsed="false">
      <c r="B19" s="128" t="s">
        <v>118</v>
      </c>
      <c r="C19" s="128" t="s">
        <v>119</v>
      </c>
      <c r="D19" s="128" t="s">
        <v>120</v>
      </c>
      <c r="E19" s="128" t="s">
        <v>121</v>
      </c>
      <c r="F19" s="125"/>
      <c r="G19" s="125"/>
      <c r="H19" s="127"/>
      <c r="I19" s="127"/>
      <c r="J19" s="125"/>
      <c r="K19" s="125"/>
      <c r="L19" s="125"/>
      <c r="M19" s="125"/>
      <c r="N19" s="127"/>
      <c r="O19" s="127"/>
    </row>
    <row r="20" customFormat="false" ht="18.75" hidden="false" customHeight="true" outlineLevel="0" collapsed="false">
      <c r="B20" s="51" t="s">
        <v>122</v>
      </c>
      <c r="C20" s="129" t="s">
        <v>123</v>
      </c>
      <c r="D20" s="51" t="s">
        <v>124</v>
      </c>
      <c r="E20" s="130" t="n">
        <f aca="false">'Comp. Veículo'!D11</f>
        <v>54.43</v>
      </c>
      <c r="F20" s="125"/>
      <c r="G20" s="125"/>
      <c r="H20" s="131"/>
      <c r="I20" s="131"/>
      <c r="J20" s="125"/>
      <c r="K20" s="125"/>
      <c r="L20" s="125"/>
      <c r="M20" s="125"/>
      <c r="N20" s="127"/>
      <c r="O20" s="127"/>
    </row>
    <row r="21" customFormat="false" ht="18.75" hidden="false" customHeight="true" outlineLevel="0" collapsed="false">
      <c r="B21" s="110" t="s">
        <v>125</v>
      </c>
      <c r="C21" s="132" t="s">
        <v>123</v>
      </c>
      <c r="D21" s="110" t="s">
        <v>126</v>
      </c>
      <c r="E21" s="133" t="n">
        <f aca="false">'Comp. Veículo'!D27</f>
        <v>6.56</v>
      </c>
      <c r="F21" s="125"/>
      <c r="G21" s="125"/>
      <c r="H21" s="131"/>
      <c r="I21" s="131"/>
      <c r="J21" s="125"/>
      <c r="K21" s="125"/>
      <c r="L21" s="125"/>
      <c r="M21" s="125"/>
      <c r="N21" s="127"/>
      <c r="O21" s="127"/>
    </row>
    <row r="22" customFormat="false" ht="47.25" hidden="false" customHeight="true" outlineLevel="0" collapsed="false">
      <c r="B22" s="134" t="s">
        <v>127</v>
      </c>
      <c r="C22" s="134"/>
      <c r="D22" s="134"/>
      <c r="E22" s="134"/>
      <c r="F22" s="135"/>
      <c r="G22" s="135"/>
      <c r="H22" s="135"/>
      <c r="I22" s="135"/>
      <c r="J22" s="135"/>
      <c r="K22" s="135"/>
      <c r="L22" s="135"/>
      <c r="M22" s="125"/>
      <c r="N22" s="127"/>
      <c r="O22" s="127"/>
    </row>
    <row r="23" customFormat="false" ht="16.5" hidden="false" customHeight="true" outlineLevel="0" collapsed="false">
      <c r="B23" s="136"/>
      <c r="C23" s="136"/>
      <c r="D23" s="136"/>
      <c r="E23" s="136"/>
      <c r="F23" s="135"/>
      <c r="G23" s="135"/>
      <c r="H23" s="135"/>
      <c r="I23" s="135"/>
      <c r="J23" s="135"/>
      <c r="K23" s="135"/>
      <c r="L23" s="135"/>
      <c r="M23" s="125"/>
      <c r="N23" s="127"/>
      <c r="O23" s="127"/>
    </row>
    <row r="24" customFormat="false" ht="16.5" hidden="false" customHeight="true" outlineLevel="0" collapsed="false">
      <c r="B24" s="126" t="s">
        <v>128</v>
      </c>
      <c r="C24" s="126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7"/>
      <c r="O24" s="127"/>
    </row>
    <row r="25" customFormat="false" ht="16.5" hidden="false" customHeight="true" outlineLevel="0" collapsed="false">
      <c r="B25" s="51" t="s">
        <v>124</v>
      </c>
      <c r="C25" s="130" t="n">
        <f aca="false">E20*L16</f>
        <v>604.173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7"/>
      <c r="O25" s="127"/>
    </row>
    <row r="26" customFormat="false" ht="16.5" hidden="false" customHeight="true" outlineLevel="0" collapsed="false">
      <c r="B26" s="51" t="s">
        <v>126</v>
      </c>
      <c r="C26" s="130" t="n">
        <f aca="false">E21*('Base Blumenau'!N18/12)</f>
        <v>222.958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7"/>
      <c r="O26" s="127"/>
    </row>
    <row r="27" customFormat="false" ht="16.5" hidden="false" customHeight="true" outlineLevel="0" collapsed="false">
      <c r="B27" s="137" t="s">
        <v>28</v>
      </c>
      <c r="C27" s="138" t="n">
        <f aca="false">C25+C26</f>
        <v>827.131</v>
      </c>
      <c r="D27" s="125"/>
      <c r="E27" s="125"/>
      <c r="F27" s="125"/>
      <c r="G27" s="125"/>
      <c r="H27" s="125"/>
      <c r="I27" s="125"/>
      <c r="M27" s="125"/>
      <c r="N27" s="127"/>
      <c r="O27" s="127"/>
    </row>
    <row r="28" customFormat="false" ht="16.5" hidden="false" customHeight="true" outlineLevel="0" collapsed="false">
      <c r="B28" s="125"/>
      <c r="C28" s="139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7"/>
      <c r="O28" s="127"/>
    </row>
    <row r="29" customFormat="false" ht="16.5" hidden="false" customHeight="true" outlineLevel="0" collapsed="false">
      <c r="B29" s="140" t="s">
        <v>129</v>
      </c>
      <c r="C29" s="140"/>
      <c r="D29" s="125"/>
      <c r="J29" s="125"/>
      <c r="K29" s="125"/>
      <c r="L29" s="125"/>
      <c r="M29" s="125"/>
      <c r="N29" s="127"/>
      <c r="O29" s="127"/>
    </row>
    <row r="30" customFormat="false" ht="16.5" hidden="false" customHeight="true" outlineLevel="0" collapsed="false">
      <c r="B30" s="141" t="s">
        <v>121</v>
      </c>
      <c r="C30" s="142" t="n">
        <f aca="false">SUM(M5:M15)</f>
        <v>0</v>
      </c>
      <c r="J30" s="125"/>
      <c r="K30" s="125"/>
      <c r="L30" s="125"/>
      <c r="M30" s="125"/>
      <c r="N30" s="127"/>
      <c r="O30" s="127"/>
    </row>
    <row r="31" customFormat="false" ht="16.5" hidden="false" customHeight="true" outlineLevel="0" collapsed="false">
      <c r="B31" s="125"/>
      <c r="C31" s="143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7"/>
      <c r="O31" s="127"/>
    </row>
  </sheetData>
  <mergeCells count="6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6:F16"/>
    <mergeCell ref="H16:J16"/>
    <mergeCell ref="B18:E18"/>
    <mergeCell ref="B22:E22"/>
    <mergeCell ref="B24:C24"/>
    <mergeCell ref="B29:C2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65526"/>
  <sheetViews>
    <sheetView showFormulas="false" showGridLines="false" showRowColHeaders="true" showZeros="true" rightToLeft="false" tabSelected="false" showOutlineSymbols="true" defaultGridColor="true" view="normal" topLeftCell="AK1" colorId="64" zoomScale="100" zoomScaleNormal="100" zoomScalePageLayoutView="100" workbookViewId="0">
      <selection pane="topLeft" activeCell="AT12" activeCellId="0" sqref="AT12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9.62"/>
    <col collapsed="false" customWidth="true" hidden="false" outlineLevel="0" max="17" min="17" style="17" width="33.62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1"/>
    <col collapsed="false" customWidth="true" hidden="false" outlineLevel="0" max="38" min="36" style="17" width="10.75"/>
    <col collapsed="false" customWidth="true" hidden="false" outlineLevel="0" max="40" min="39" style="17" width="11.12"/>
    <col collapsed="false" customWidth="true" hidden="false" outlineLevel="0" max="41" min="41" style="17" width="14.5"/>
    <col collapsed="false" customWidth="true" hidden="false" outlineLevel="0" max="42" min="42" style="17" width="12.5"/>
    <col collapsed="false" customWidth="true" hidden="false" outlineLevel="0" max="43" min="43" style="17" width="14.25"/>
    <col collapsed="false" customWidth="true" hidden="false" outlineLevel="0" max="44" min="44" style="17" width="2.62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66" min="50" style="17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"&amp;Resumo!B6&amp;" - PLANILHA DE FORMAÇÃO DE PREÇOS"</f>
        <v>BASE JOINVILLE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5" t="str">
        <f aca="false">"BASE "&amp;Resumo!B6&amp;" – PLANILHA DE DISTRIBUIÇÃO DE CUSTOS POR UNIDADE"</f>
        <v>BASE JOINVILLE – PLANILHA DE DISTRIBUIÇÃO DE CUSTOS POR UNIDADE</v>
      </c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6"/>
      <c r="AI2" s="58" t="str">
        <f aca="false">"BASE "&amp;Resumo!B6&amp;" – PLANILHA RESUMO DE CUSTOS DA BASE"</f>
        <v>BASE JOINVILLE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</row>
    <row r="4" customFormat="false" ht="19.5" hidden="false" customHeight="true" outlineLevel="0" collapsed="false">
      <c r="B4" s="48" t="s">
        <v>41</v>
      </c>
      <c r="C4" s="48" t="s">
        <v>42</v>
      </c>
      <c r="D4" s="48"/>
      <c r="E4" s="48"/>
      <c r="F4" s="48"/>
      <c r="G4" s="48"/>
      <c r="H4" s="48" t="s">
        <v>43</v>
      </c>
      <c r="I4" s="48"/>
      <c r="J4" s="48"/>
      <c r="K4" s="48"/>
      <c r="L4" s="48"/>
      <c r="M4" s="48"/>
      <c r="N4" s="48"/>
      <c r="O4" s="48" t="s">
        <v>28</v>
      </c>
      <c r="P4" s="56"/>
      <c r="Q4" s="48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H4" s="57"/>
      <c r="AI4" s="48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"&amp;Resumo!B6</f>
        <v>Resumo de Custos da Base JOINVILLE</v>
      </c>
      <c r="AT4" s="60"/>
      <c r="AU4" s="60"/>
      <c r="AV4" s="60"/>
      <c r="AW4" s="60"/>
    </row>
    <row r="5" customFormat="false" ht="39.75" hidden="false" customHeight="true" outlineLevel="0" collapsed="false">
      <c r="B5" s="48"/>
      <c r="C5" s="48" t="s">
        <v>28</v>
      </c>
      <c r="D5" s="48" t="s">
        <v>51</v>
      </c>
      <c r="E5" s="48" t="s">
        <v>52</v>
      </c>
      <c r="F5" s="48" t="s">
        <v>53</v>
      </c>
      <c r="G5" s="48" t="s">
        <v>54</v>
      </c>
      <c r="H5" s="48" t="s">
        <v>55</v>
      </c>
      <c r="I5" s="48" t="s">
        <v>56</v>
      </c>
      <c r="J5" s="48" t="s">
        <v>57</v>
      </c>
      <c r="K5" s="48" t="s">
        <v>58</v>
      </c>
      <c r="L5" s="48" t="s">
        <v>59</v>
      </c>
      <c r="M5" s="48" t="s">
        <v>60</v>
      </c>
      <c r="N5" s="48" t="s">
        <v>61</v>
      </c>
      <c r="O5" s="48"/>
      <c r="P5" s="56"/>
      <c r="Q5" s="48"/>
      <c r="R5" s="48" t="s">
        <v>62</v>
      </c>
      <c r="S5" s="48" t="s">
        <v>63</v>
      </c>
      <c r="T5" s="48" t="s">
        <v>64</v>
      </c>
      <c r="U5" s="48" t="s">
        <v>65</v>
      </c>
      <c r="V5" s="48" t="s">
        <v>66</v>
      </c>
      <c r="W5" s="48" t="s">
        <v>67</v>
      </c>
      <c r="X5" s="48" t="s">
        <v>68</v>
      </c>
      <c r="Y5" s="48" t="s">
        <v>69</v>
      </c>
      <c r="Z5" s="48" t="s">
        <v>70</v>
      </c>
      <c r="AA5" s="48"/>
      <c r="AB5" s="48"/>
      <c r="AC5" s="48" t="n">
        <f aca="false">N16+'Base Blumenau'!N18</f>
        <v>777.5</v>
      </c>
      <c r="AD5" s="59" t="s">
        <v>62</v>
      </c>
      <c r="AE5" s="59" t="s">
        <v>63</v>
      </c>
      <c r="AF5" s="59" t="s">
        <v>64</v>
      </c>
      <c r="AG5" s="59" t="s">
        <v>65</v>
      </c>
      <c r="AH5" s="44"/>
      <c r="AI5" s="48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8"/>
      <c r="C6" s="62" t="s">
        <v>76</v>
      </c>
      <c r="D6" s="62" t="n">
        <v>1</v>
      </c>
      <c r="E6" s="62" t="n">
        <v>0.35</v>
      </c>
      <c r="F6" s="62" t="n">
        <v>0.1</v>
      </c>
      <c r="G6" s="48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8"/>
      <c r="O6" s="48"/>
      <c r="P6" s="63"/>
      <c r="Q6" s="48"/>
      <c r="R6" s="62" t="s">
        <v>77</v>
      </c>
      <c r="S6" s="62" t="s">
        <v>78</v>
      </c>
      <c r="T6" s="62" t="s">
        <v>79</v>
      </c>
      <c r="U6" s="62" t="s">
        <v>80</v>
      </c>
      <c r="V6" s="48"/>
      <c r="W6" s="48"/>
      <c r="X6" s="48"/>
      <c r="Y6" s="48"/>
      <c r="Z6" s="36" t="s">
        <v>62</v>
      </c>
      <c r="AA6" s="36" t="s">
        <v>63</v>
      </c>
      <c r="AB6" s="36" t="s">
        <v>64</v>
      </c>
      <c r="AC6" s="36" t="s">
        <v>65</v>
      </c>
      <c r="AD6" s="59"/>
      <c r="AE6" s="59"/>
      <c r="AF6" s="59"/>
      <c r="AG6" s="59"/>
      <c r="AH6" s="57"/>
      <c r="AI6" s="48"/>
      <c r="AJ6" s="59"/>
      <c r="AK6" s="59"/>
      <c r="AL6" s="59"/>
      <c r="AM6" s="59"/>
      <c r="AN6" s="59"/>
      <c r="AO6" s="59"/>
      <c r="AP6" s="59" t="n">
        <f aca="false">'Base Blumenau'!AP6</f>
        <v>2.63636363636364</v>
      </c>
      <c r="AQ6" s="59"/>
      <c r="AR6" s="64"/>
      <c r="AS6" s="59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B7" s="65" t="s">
        <v>130</v>
      </c>
      <c r="C7" s="66" t="n">
        <f aca="false">VLOOKUP($B7,Unidades!$D$5:$N$24,6,FALSE())</f>
        <v>2098</v>
      </c>
      <c r="D7" s="66" t="n">
        <f aca="false">VLOOKUP($B7,Unidades!$D$5:$N$24,7,FALSE())</f>
        <v>661</v>
      </c>
      <c r="E7" s="66" t="n">
        <f aca="false">VLOOKUP($B7,Unidades!$D$5:$N$24,8,FALSE())</f>
        <v>742</v>
      </c>
      <c r="F7" s="66" t="n">
        <f aca="false">VLOOKUP($B7,Unidades!$D$5:$N$24,9,FALSE())</f>
        <v>695</v>
      </c>
      <c r="G7" s="66" t="n">
        <f aca="false">D7+$E$6*E7+$F$6*F7</f>
        <v>990.2</v>
      </c>
      <c r="H7" s="67" t="n">
        <f aca="false">IF(G7&lt;750,1.5,IF(G7&lt;2000,2,IF(G7&lt;4000,3,12)))</f>
        <v>2</v>
      </c>
      <c r="I7" s="67" t="n">
        <f aca="false">$I$6*H7</f>
        <v>2.4</v>
      </c>
      <c r="J7" s="67" t="str">
        <f aca="false">VLOOKUP($B7,Unidades!$D$5:$N$24,10,FALSE())</f>
        <v>SIM</v>
      </c>
      <c r="K7" s="67" t="str">
        <f aca="false">VLOOKUP($B7,Unidades!$D$5:$N$24,11,FALSE())</f>
        <v>SIM</v>
      </c>
      <c r="L7" s="67" t="n">
        <f aca="false">$L$6*H7+(IF(J7="SIM",$J$6,0))</f>
        <v>4.2</v>
      </c>
      <c r="M7" s="67" t="n">
        <f aca="false">$M$6*H7+(IF(J7="SIM",$J$6,0))+(IF(K7="SIM",$K$6,0))</f>
        <v>8.2</v>
      </c>
      <c r="N7" s="67" t="n">
        <f aca="false">H7*12+I7*4+L7*2+M7</f>
        <v>50.2</v>
      </c>
      <c r="O7" s="68" t="n">
        <f aca="false">IF(K7="não", N7*(C$19+D$19),N7*(C$19+D$19)+(M7*+E$19))</f>
        <v>3385.03808</v>
      </c>
      <c r="P7" s="69"/>
      <c r="Q7" s="23" t="str">
        <f aca="false">B7</f>
        <v>APS CANOINHAS</v>
      </c>
      <c r="R7" s="25" t="n">
        <f aca="false">H7*($C$19+$D$19)</f>
        <v>120.0008</v>
      </c>
      <c r="S7" s="25" t="n">
        <f aca="false">I7*($C$19+$D$19)</f>
        <v>144.00096</v>
      </c>
      <c r="T7" s="25" t="n">
        <f aca="false">L7*($C$19+$D$19)</f>
        <v>252.00168</v>
      </c>
      <c r="U7" s="25" t="n">
        <f aca="false">IF(K7="não",M7*($C$19+$D$19),M7*(C$19+D$19+E$19))</f>
        <v>865.02128</v>
      </c>
      <c r="V7" s="25" t="n">
        <f aca="false">VLOOKUP(Q7,'Desl. Base Joinville'!$C$5:$S$13,13,FALSE())*($C$19+$D$19+$E$19*(VLOOKUP(Q7,'Desl. Base Joinville'!$C$5:$S$13,17,FALSE())/12))</f>
        <v>198.284416944444</v>
      </c>
      <c r="W7" s="25" t="n">
        <f aca="false">VLOOKUP(Q7,'Desl. Base Joinville'!$C$5:$S$13,15,FALSE())*(2+(VLOOKUP(Q7,'Desl. Base Joinville'!$C$5:$S$13,17,FALSE())/12))</f>
        <v>290.416666666667</v>
      </c>
      <c r="X7" s="25" t="n">
        <f aca="false">VLOOKUP(Q7,'Desl. Base Joinville'!$C$5:$Q$13,14,FALSE())</f>
        <v>0</v>
      </c>
      <c r="Y7" s="25" t="n">
        <f aca="false">VLOOKUP(Q7,'Desl. Base Joinville'!$C$5:Q$13,13,FALSE())*'Desl. Base Joinville'!$E$18+'Desl. Base Joinville'!$E$19*N7/12</f>
        <v>196.62925</v>
      </c>
      <c r="Z7" s="25" t="n">
        <f aca="false">(H7/$AC$5)*'Equipe Técnica'!$C$13</f>
        <v>537.482888643087</v>
      </c>
      <c r="AA7" s="25" t="n">
        <f aca="false">(I7/$AC$5)*'Equipe Técnica'!$C$13</f>
        <v>644.979466371704</v>
      </c>
      <c r="AB7" s="25" t="n">
        <f aca="false">(L7/$AC$5)*'Equipe Técnica'!$C$13</f>
        <v>1128.71406615048</v>
      </c>
      <c r="AC7" s="25" t="n">
        <f aca="false">(M7/$AC$5)*'Equipe Técnica'!$C$13</f>
        <v>2203.67984343666</v>
      </c>
      <c r="AD7" s="25" t="n">
        <f aca="false">R7+(($V7+$W7+$X7+$Y7)*12/19)+$Z7</f>
        <v>1090.32389934484</v>
      </c>
      <c r="AE7" s="25" t="n">
        <f aca="false">S7+(($V7+$W7+$X7+$Y7)*12/19)+$AA7</f>
        <v>1221.82063707346</v>
      </c>
      <c r="AF7" s="25" t="n">
        <f aca="false">T7+(($V7+$W7+$X7+$Y7)*12/19)+$AB7</f>
        <v>1813.55595685224</v>
      </c>
      <c r="AG7" s="25" t="n">
        <f aca="false">U7+(($V7+$W7+$X7+$Y7)*12/19)+$AC7</f>
        <v>3501.54133413841</v>
      </c>
      <c r="AH7" s="144"/>
      <c r="AI7" s="23" t="str">
        <f aca="false">B7</f>
        <v>APS CANOINHAS</v>
      </c>
      <c r="AJ7" s="70" t="n">
        <f aca="false">VLOOKUP(AI7,Unidades!D$5:H$24,5,)</f>
        <v>0.2354</v>
      </c>
      <c r="AK7" s="49" t="n">
        <f aca="false">AD7*(1+$AJ7)</f>
        <v>1346.98614525062</v>
      </c>
      <c r="AL7" s="49" t="n">
        <f aca="false">AE7*(1+$AJ7)</f>
        <v>1509.43721504055</v>
      </c>
      <c r="AM7" s="49" t="n">
        <f aca="false">AF7*(1+$AJ7)</f>
        <v>2240.46702909525</v>
      </c>
      <c r="AN7" s="49" t="n">
        <f aca="false">AG7*(1+$AJ7)</f>
        <v>4325.80416419459</v>
      </c>
      <c r="AO7" s="49" t="n">
        <f aca="false">((AK7*12)+(AL7*4)+(AM7*2)+AN7)/12</f>
        <v>2584.02673546289</v>
      </c>
      <c r="AP7" s="49" t="n">
        <f aca="false">AO7*$AP$6</f>
        <v>6812.43412076581</v>
      </c>
      <c r="AQ7" s="49" t="n">
        <f aca="false">AO7+AP7</f>
        <v>9396.4608562287</v>
      </c>
      <c r="AR7" s="71"/>
      <c r="AS7" s="72" t="s">
        <v>82</v>
      </c>
      <c r="AT7" s="49" t="n">
        <f aca="false">AK16</f>
        <v>8572.07433710999</v>
      </c>
      <c r="AU7" s="49" t="n">
        <f aca="false">AL16</f>
        <v>9901.09871565935</v>
      </c>
      <c r="AV7" s="49" t="n">
        <f aca="false">AM16</f>
        <v>11656.1265005912</v>
      </c>
      <c r="AW7" s="49" t="n">
        <f aca="false">AN16</f>
        <v>21771.9520343181</v>
      </c>
    </row>
    <row r="8" customFormat="false" ht="15" hidden="false" customHeight="true" outlineLevel="0" collapsed="false">
      <c r="B8" s="65" t="s">
        <v>131</v>
      </c>
      <c r="C8" s="66" t="n">
        <f aca="false">VLOOKUP($B8,Unidades!$D$5:$N$24,6,FALSE())</f>
        <v>334.4</v>
      </c>
      <c r="D8" s="66" t="n">
        <f aca="false">VLOOKUP($B8,Unidades!$D$5:$N$24,7,FALSE())</f>
        <v>296</v>
      </c>
      <c r="E8" s="66" t="n">
        <f aca="false">VLOOKUP($B8,Unidades!$D$5:$N$24,8,FALSE())</f>
        <v>38.4</v>
      </c>
      <c r="F8" s="66" t="n">
        <f aca="false">VLOOKUP($B8,Unidades!$D$5:$N$24,9,FALSE())</f>
        <v>0</v>
      </c>
      <c r="G8" s="66" t="n">
        <f aca="false">D8+$E$6*E8+$F$6*F8</f>
        <v>309.44</v>
      </c>
      <c r="H8" s="67" t="n">
        <f aca="false">IF(G8&lt;750,1.5,IF(G8&lt;2000,2,IF(G8&lt;4000,3,12)))</f>
        <v>1.5</v>
      </c>
      <c r="I8" s="67" t="n">
        <f aca="false">$I$6*H8</f>
        <v>1.8</v>
      </c>
      <c r="J8" s="67" t="str">
        <f aca="false">VLOOKUP($B8,Unidades!$D$5:$N$24,10,FALSE())</f>
        <v>NÃO</v>
      </c>
      <c r="K8" s="67" t="str">
        <f aca="false">VLOOKUP($B8,Unidades!$D$5:$N$24,11,FALSE())</f>
        <v>NÃO</v>
      </c>
      <c r="L8" s="67" t="n">
        <f aca="false">$L$6*H8+(IF(J8="SIM",$J$6,0))</f>
        <v>1.65</v>
      </c>
      <c r="M8" s="67" t="n">
        <f aca="false">$M$6*H8+(IF(J8="SIM",$J$6,0))+(IF(K8="SIM",$K$6,0))</f>
        <v>1.65</v>
      </c>
      <c r="N8" s="67" t="n">
        <f aca="false">H8*12+I8*4+L8*2+M8</f>
        <v>30.15</v>
      </c>
      <c r="O8" s="68" t="n">
        <f aca="false">IF(K8="não", N8*(C$19+D$19),N8*(C$19+D$19)+(M8*+E$19))</f>
        <v>1809.01206</v>
      </c>
      <c r="P8" s="69"/>
      <c r="Q8" s="23" t="str">
        <f aca="false">B8</f>
        <v>APS GUARAMIRIM</v>
      </c>
      <c r="R8" s="25" t="n">
        <f aca="false">H8*($C$19+$D$19)</f>
        <v>90.0006</v>
      </c>
      <c r="S8" s="25" t="n">
        <f aca="false">I8*($C$19+$D$19)</f>
        <v>108.00072</v>
      </c>
      <c r="T8" s="25" t="n">
        <f aca="false">L8*($C$19+$D$19)</f>
        <v>99.00066</v>
      </c>
      <c r="U8" s="25" t="n">
        <f aca="false">IF(K8="não",M8*($C$19+$D$19),M8*(C$19+D$19+E$19))</f>
        <v>99.00066</v>
      </c>
      <c r="V8" s="25" t="n">
        <f aca="false">VLOOKUP(Q8,'Desl. Base Joinville'!$C$5:$S$13,13,FALSE())*($C$19+$D$19+$E$19*(VLOOKUP(Q8,'Desl. Base Joinville'!$C$5:$S$13,17,FALSE())/12))</f>
        <v>54.2225483333333</v>
      </c>
      <c r="W8" s="25" t="n">
        <f aca="false">VLOOKUP(Q8,'Desl. Base Joinville'!$C$5:$S$13,15,FALSE())*(2+(VLOOKUP(Q8,'Desl. Base Joinville'!$C$5:$S$13,17,FALSE())/12))</f>
        <v>0</v>
      </c>
      <c r="X8" s="25" t="n">
        <f aca="false">VLOOKUP(Q8,'Desl. Base Joinville'!$C$5:$Q$13,14,FALSE())</f>
        <v>0</v>
      </c>
      <c r="Y8" s="25" t="n">
        <f aca="false">VLOOKUP(Q8,'Desl. Base Joinville'!$C$5:Q$13,13,FALSE())*'Desl. Base Joinville'!$E$18+'Desl. Base Joinville'!$E$19*N8/12</f>
        <v>62.7475</v>
      </c>
      <c r="Z8" s="25" t="n">
        <f aca="false">(H8/$AC$5)*'Equipe Técnica'!$C$13</f>
        <v>403.112166482315</v>
      </c>
      <c r="AA8" s="25" t="n">
        <f aca="false">(I8/$AC$5)*'Equipe Técnica'!$C$13</f>
        <v>483.734599778778</v>
      </c>
      <c r="AB8" s="25" t="n">
        <f aca="false">(L8/$AC$5)*'Equipe Técnica'!$C$13</f>
        <v>443.423383130547</v>
      </c>
      <c r="AC8" s="25" t="n">
        <f aca="false">(M8/$AC$5)*'Equipe Técnica'!$C$13</f>
        <v>443.423383130547</v>
      </c>
      <c r="AD8" s="25" t="n">
        <f aca="false">R8+(($V8+$W8+$X8+$Y8)*12/19)+$Z8</f>
        <v>566.988586482315</v>
      </c>
      <c r="AE8" s="25" t="n">
        <f aca="false">S8+(($V8+$W8+$X8+$Y8)*12/19)+$AA8</f>
        <v>665.611139778778</v>
      </c>
      <c r="AF8" s="25" t="n">
        <f aca="false">T8+(($V8+$W8+$X8+$Y8)*12/19)+$AB8</f>
        <v>616.299863130547</v>
      </c>
      <c r="AG8" s="25" t="n">
        <f aca="false">U8+(($V8+$W8+$X8+$Y8)*12/19)+$AC8</f>
        <v>616.299863130547</v>
      </c>
      <c r="AH8" s="144"/>
      <c r="AI8" s="23" t="str">
        <f aca="false">B8</f>
        <v>APS GUARAMIRIM</v>
      </c>
      <c r="AJ8" s="70" t="n">
        <f aca="false">VLOOKUP(AI8,Unidades!D$5:H$24,5,)</f>
        <v>0.2223</v>
      </c>
      <c r="AK8" s="49" t="n">
        <f aca="false">AD8*(1+$AJ8)</f>
        <v>693.030149257334</v>
      </c>
      <c r="AL8" s="49" t="n">
        <f aca="false">AE8*(1+$AJ8)</f>
        <v>813.5764961516</v>
      </c>
      <c r="AM8" s="49" t="n">
        <f aca="false">AF8*(1+$AJ8)</f>
        <v>753.303322704467</v>
      </c>
      <c r="AN8" s="49" t="n">
        <f aca="false">AG8*(1+$AJ8)</f>
        <v>753.303322704467</v>
      </c>
      <c r="AO8" s="49" t="n">
        <f aca="false">((AK8*12)+(AL8*4)+(AM8*2)+AN8)/12</f>
        <v>1152.54814531732</v>
      </c>
      <c r="AP8" s="49" t="n">
        <f aca="false">AO8*$AP$6</f>
        <v>3038.53601947293</v>
      </c>
      <c r="AQ8" s="49" t="n">
        <f aca="false">AO8+AP8</f>
        <v>4191.08416479024</v>
      </c>
      <c r="AR8" s="71"/>
      <c r="AS8" s="72" t="s">
        <v>84</v>
      </c>
      <c r="AT8" s="49" t="n">
        <f aca="false">AT7*12</f>
        <v>102864.89204532</v>
      </c>
      <c r="AU8" s="49" t="n">
        <f aca="false">AU7*4</f>
        <v>39604.3948626374</v>
      </c>
      <c r="AV8" s="49" t="n">
        <f aca="false">AV7*2</f>
        <v>23312.2530011825</v>
      </c>
      <c r="AW8" s="49" t="n">
        <f aca="false">AW7</f>
        <v>21771.9520343181</v>
      </c>
    </row>
    <row r="9" customFormat="false" ht="15" hidden="false" customHeight="true" outlineLevel="0" collapsed="false">
      <c r="B9" s="65" t="s">
        <v>132</v>
      </c>
      <c r="C9" s="66" t="n">
        <f aca="false">VLOOKUP($B9,Unidades!$D$5:$N$24,6,FALSE())</f>
        <v>1264.6</v>
      </c>
      <c r="D9" s="66" t="n">
        <f aca="false">VLOOKUP($B9,Unidades!$D$5:$N$24,7,FALSE())</f>
        <v>749.6</v>
      </c>
      <c r="E9" s="66" t="n">
        <f aca="false">VLOOKUP($B9,Unidades!$D$5:$N$24,8,FALSE())</f>
        <v>515</v>
      </c>
      <c r="F9" s="66" t="n">
        <f aca="false">VLOOKUP($B9,Unidades!$D$5:$N$24,9,FALSE())</f>
        <v>0</v>
      </c>
      <c r="G9" s="66" t="n">
        <f aca="false">D9+$E$6*E9+$F$6*F9</f>
        <v>929.85</v>
      </c>
      <c r="H9" s="67" t="n">
        <f aca="false">IF(G9&lt;750,1.5,IF(G9&lt;2000,2,IF(G9&lt;4000,3,12)))</f>
        <v>2</v>
      </c>
      <c r="I9" s="67" t="n">
        <f aca="false">$I$6*H9</f>
        <v>2.4</v>
      </c>
      <c r="J9" s="67" t="str">
        <f aca="false">VLOOKUP($B9,Unidades!$D$5:$N$24,10,FALSE())</f>
        <v>SIM</v>
      </c>
      <c r="K9" s="67" t="str">
        <f aca="false">VLOOKUP($B9,Unidades!$D$5:$N$24,11,FALSE())</f>
        <v>SIM</v>
      </c>
      <c r="L9" s="67" t="n">
        <f aca="false">$L$6*H9+(IF(J9="SIM",$J$6,0))</f>
        <v>4.2</v>
      </c>
      <c r="M9" s="67" t="n">
        <f aca="false">$M$6*H9+(IF(J9="SIM",$J$6,0))+(IF(K9="SIM",$K$6,0))</f>
        <v>8.2</v>
      </c>
      <c r="N9" s="67" t="n">
        <f aca="false">H9*12+I9*4+L9*2+M9</f>
        <v>50.2</v>
      </c>
      <c r="O9" s="68" t="n">
        <f aca="false">IF(K9="não", N9*(C$19+D$19),N9*(C$19+D$19)+(M9*+E$19))</f>
        <v>3385.03808</v>
      </c>
      <c r="P9" s="69"/>
      <c r="Q9" s="23" t="str">
        <f aca="false">B9</f>
        <v>APS JARAGUÁ DO SUL</v>
      </c>
      <c r="R9" s="25" t="n">
        <f aca="false">H9*($C$19+$D$19)</f>
        <v>120.0008</v>
      </c>
      <c r="S9" s="25" t="n">
        <f aca="false">I9*($C$19+$D$19)</f>
        <v>144.00096</v>
      </c>
      <c r="T9" s="25" t="n">
        <f aca="false">L9*($C$19+$D$19)</f>
        <v>252.00168</v>
      </c>
      <c r="U9" s="25" t="n">
        <f aca="false">IF(K9="não",M9*($C$19+$D$19),M9*(C$19+D$19+E$19))</f>
        <v>865.02128</v>
      </c>
      <c r="V9" s="25" t="n">
        <f aca="false">VLOOKUP(Q9,'Desl. Base Joinville'!$C$5:$S$13,13,FALSE())*($C$19+$D$19+$E$19*(VLOOKUP(Q9,'Desl. Base Joinville'!$C$5:$S$13,17,FALSE())/12))</f>
        <v>54.2225483333333</v>
      </c>
      <c r="W9" s="25" t="n">
        <f aca="false">VLOOKUP(Q9,'Desl. Base Joinville'!$C$5:$S$13,15,FALSE())*(2+(VLOOKUP(Q9,'Desl. Base Joinville'!$C$5:$S$13,17,FALSE())/12))</f>
        <v>0</v>
      </c>
      <c r="X9" s="25" t="n">
        <f aca="false">VLOOKUP(Q9,'Desl. Base Joinville'!$C$5:$Q$13,14,FALSE())</f>
        <v>0</v>
      </c>
      <c r="Y9" s="25" t="n">
        <f aca="false">VLOOKUP(Q9,'Desl. Base Joinville'!$C$5:Q$13,13,FALSE())*'Desl. Base Joinville'!$E$18+'Desl. Base Joinville'!$E$19*N9/12</f>
        <v>73.7081666666667</v>
      </c>
      <c r="Z9" s="25" t="n">
        <f aca="false">(H9/$AC$5)*'Equipe Técnica'!$C$13</f>
        <v>537.482888643087</v>
      </c>
      <c r="AA9" s="25" t="n">
        <f aca="false">(I9/$AC$5)*'Equipe Técnica'!$C$13</f>
        <v>644.979466371704</v>
      </c>
      <c r="AB9" s="25" t="n">
        <f aca="false">(L9/$AC$5)*'Equipe Técnica'!$C$13</f>
        <v>1128.71406615048</v>
      </c>
      <c r="AC9" s="25" t="n">
        <f aca="false">(M9/$AC$5)*'Equipe Técnica'!$C$13</f>
        <v>2203.67984343666</v>
      </c>
      <c r="AD9" s="25" t="n">
        <f aca="false">R9+(($V9+$W9+$X9+$Y9)*12/19)+$Z9</f>
        <v>738.282034958876</v>
      </c>
      <c r="AE9" s="25" t="n">
        <f aca="false">S9+(($V9+$W9+$X9+$Y9)*12/19)+$AA9</f>
        <v>869.778772687494</v>
      </c>
      <c r="AF9" s="25" t="n">
        <f aca="false">T9+(($V9+$W9+$X9+$Y9)*12/19)+$AB9</f>
        <v>1461.51409246627</v>
      </c>
      <c r="AG9" s="25" t="n">
        <f aca="false">U9+(($V9+$W9+$X9+$Y9)*12/19)+$AC9</f>
        <v>3149.49946975245</v>
      </c>
      <c r="AH9" s="144"/>
      <c r="AI9" s="23" t="str">
        <f aca="false">B9</f>
        <v>APS JARAGUÁ DO SUL</v>
      </c>
      <c r="AJ9" s="70" t="n">
        <f aca="false">VLOOKUP(AI9,Unidades!D$5:H$24,5,)</f>
        <v>0.2223</v>
      </c>
      <c r="AK9" s="49" t="n">
        <f aca="false">AD9*(1+$AJ9)</f>
        <v>902.402131330234</v>
      </c>
      <c r="AL9" s="49" t="n">
        <f aca="false">AE9*(1+$AJ9)</f>
        <v>1063.13059385592</v>
      </c>
      <c r="AM9" s="49" t="n">
        <f aca="false">AF9*(1+$AJ9)</f>
        <v>1786.40867522152</v>
      </c>
      <c r="AN9" s="49" t="n">
        <f aca="false">AG9*(1+$AJ9)</f>
        <v>3849.63320187841</v>
      </c>
      <c r="AO9" s="49" t="n">
        <f aca="false">((AK9*12)+(AL9*4)+(AM9*2)+AN9)/12</f>
        <v>1875.31654197566</v>
      </c>
      <c r="AP9" s="49" t="n">
        <f aca="false">AO9*$AP$6</f>
        <v>4944.01633793584</v>
      </c>
      <c r="AQ9" s="49" t="n">
        <f aca="false">AO9+AP9</f>
        <v>6819.33287991151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65" t="s">
        <v>133</v>
      </c>
      <c r="C10" s="66" t="n">
        <f aca="false">VLOOKUP($B10,Unidades!$D$5:$N$24,6,FALSE())</f>
        <v>1623.5</v>
      </c>
      <c r="D10" s="66" t="n">
        <f aca="false">VLOOKUP($B10,Unidades!$D$5:$N$24,7,FALSE())</f>
        <v>842.5</v>
      </c>
      <c r="E10" s="66" t="n">
        <f aca="false">VLOOKUP($B10,Unidades!$D$5:$N$24,8,FALSE())</f>
        <v>660</v>
      </c>
      <c r="F10" s="66" t="n">
        <f aca="false">VLOOKUP($B10,Unidades!$D$5:$N$24,9,FALSE())</f>
        <v>121</v>
      </c>
      <c r="G10" s="66" t="n">
        <f aca="false">D10+$E$6*E10+$F$6*F10</f>
        <v>1085.6</v>
      </c>
      <c r="H10" s="67" t="n">
        <f aca="false">IF(G10&lt;750,1.5,IF(G10&lt;2000,2,IF(G10&lt;4000,3,12)))</f>
        <v>2</v>
      </c>
      <c r="I10" s="67" t="n">
        <f aca="false">$I$6*H10</f>
        <v>2.4</v>
      </c>
      <c r="J10" s="67" t="str">
        <f aca="false">VLOOKUP($B10,Unidades!$D$5:$N$24,10,FALSE())</f>
        <v>NÃO</v>
      </c>
      <c r="K10" s="67" t="str">
        <f aca="false">VLOOKUP($B10,Unidades!$D$5:$N$24,11,FALSE())</f>
        <v>NÃO</v>
      </c>
      <c r="L10" s="67" t="n">
        <f aca="false">$L$6*H10+(IF(J10="SIM",$J$6,0))</f>
        <v>2.2</v>
      </c>
      <c r="M10" s="67" t="n">
        <f aca="false">$M$6*H10+(IF(J10="SIM",$J$6,0))+(IF(K10="SIM",$K$6,0))</f>
        <v>2.2</v>
      </c>
      <c r="N10" s="67" t="n">
        <f aca="false">H10*12+I10*4+L10*2+M10</f>
        <v>40.2</v>
      </c>
      <c r="O10" s="68" t="n">
        <f aca="false">IF(K10="não", N10*(C$19+D$19),N10*(C$19+D$19)+(M10*+E$19))</f>
        <v>2412.01608</v>
      </c>
      <c r="P10" s="69"/>
      <c r="Q10" s="23" t="str">
        <f aca="false">B10</f>
        <v>APS MAFRA</v>
      </c>
      <c r="R10" s="25" t="n">
        <f aca="false">H10*($C$19+$D$19)</f>
        <v>120.0008</v>
      </c>
      <c r="S10" s="25" t="n">
        <f aca="false">I10*($C$19+$D$19)</f>
        <v>144.00096</v>
      </c>
      <c r="T10" s="25" t="n">
        <f aca="false">L10*($C$19+$D$19)</f>
        <v>132.00088</v>
      </c>
      <c r="U10" s="25" t="n">
        <f aca="false">IF(K10="não",M10*($C$19+$D$19),M10*(C$19+D$19+E$19))</f>
        <v>132.00088</v>
      </c>
      <c r="V10" s="25" t="n">
        <f aca="false">VLOOKUP(Q10,'Desl. Base Joinville'!$C$5:$S$13,13,FALSE())*($C$19+$D$19+$E$19*(VLOOKUP(Q10,'Desl. Base Joinville'!$C$5:$S$13,17,FALSE())/12))</f>
        <v>138.00092</v>
      </c>
      <c r="W10" s="25" t="n">
        <f aca="false">VLOOKUP(Q10,'Desl. Base Joinville'!$C$5:$S$13,15,FALSE())*(2+(VLOOKUP(Q10,'Desl. Base Joinville'!$C$5:$S$13,17,FALSE())/12))</f>
        <v>0</v>
      </c>
      <c r="X10" s="25" t="n">
        <f aca="false">VLOOKUP(Q10,'Desl. Base Joinville'!$C$5:$Q$13,14,FALSE())</f>
        <v>0</v>
      </c>
      <c r="Y10" s="25" t="n">
        <f aca="false">VLOOKUP(Q10,'Desl. Base Joinville'!$C$5:Q$13,13,FALSE())*'Desl. Base Joinville'!$E$18+'Desl. Base Joinville'!$E$19*N10/12</f>
        <v>147.165</v>
      </c>
      <c r="Z10" s="25" t="n">
        <f aca="false">(H10/$AC$5)*'Equipe Técnica'!$C$13</f>
        <v>537.482888643087</v>
      </c>
      <c r="AA10" s="25" t="n">
        <f aca="false">(I10/$AC$5)*'Equipe Técnica'!$C$13</f>
        <v>644.979466371704</v>
      </c>
      <c r="AB10" s="25" t="n">
        <f aca="false">(L10/$AC$5)*'Equipe Técnica'!$C$13</f>
        <v>591.231177507396</v>
      </c>
      <c r="AC10" s="25" t="n">
        <f aca="false">(M10/$AC$5)*'Equipe Técnica'!$C$13</f>
        <v>591.231177507396</v>
      </c>
      <c r="AD10" s="25" t="n">
        <f aca="false">R10+(($V10+$W10+$X10+$Y10)*12/19)+$Z10</f>
        <v>837.588480222034</v>
      </c>
      <c r="AE10" s="25" t="n">
        <f aca="false">S10+(($V10+$W10+$X10+$Y10)*12/19)+$AA10</f>
        <v>969.085217950651</v>
      </c>
      <c r="AF10" s="25" t="n">
        <f aca="false">T10+(($V10+$W10+$X10+$Y10)*12/19)+$AB10</f>
        <v>903.336849086343</v>
      </c>
      <c r="AG10" s="25" t="n">
        <f aca="false">U10+(($V10+$W10+$X10+$Y10)*12/19)+$AC10</f>
        <v>903.336849086343</v>
      </c>
      <c r="AH10" s="144"/>
      <c r="AI10" s="23" t="str">
        <f aca="false">B10</f>
        <v>APS MAFRA</v>
      </c>
      <c r="AJ10" s="70" t="n">
        <f aca="false">VLOOKUP(AI10,Unidades!D$5:H$24,5,)</f>
        <v>0.2223</v>
      </c>
      <c r="AK10" s="49" t="n">
        <f aca="false">AD10*(1+$AJ10)</f>
        <v>1023.78439937539</v>
      </c>
      <c r="AL10" s="49" t="n">
        <f aca="false">AE10*(1+$AJ10)</f>
        <v>1184.51286190108</v>
      </c>
      <c r="AM10" s="49" t="n">
        <f aca="false">AF10*(1+$AJ10)</f>
        <v>1104.14863063824</v>
      </c>
      <c r="AN10" s="49" t="n">
        <f aca="false">AG10*(1+$AJ10)</f>
        <v>1104.14863063824</v>
      </c>
      <c r="AO10" s="49" t="n">
        <f aca="false">((AK10*12)+(AL10*4)+(AM10*2)+AN10)/12</f>
        <v>1694.65917766865</v>
      </c>
      <c r="AP10" s="49" t="n">
        <f aca="false">AO10*$AP$6</f>
        <v>4467.73783203552</v>
      </c>
      <c r="AQ10" s="49" t="n">
        <f aca="false">AO10+AP10</f>
        <v>6162.39700970417</v>
      </c>
      <c r="AR10" s="71"/>
      <c r="AS10" s="74" t="s">
        <v>72</v>
      </c>
      <c r="AT10" s="49" t="n">
        <f aca="false">(SUM(AT8:AW8))/12</f>
        <v>15629.4576619548</v>
      </c>
      <c r="AU10" s="49"/>
      <c r="AV10" s="73"/>
      <c r="AW10" s="73"/>
    </row>
    <row r="11" customFormat="false" ht="15" hidden="false" customHeight="true" outlineLevel="0" collapsed="false">
      <c r="B11" s="65" t="s">
        <v>134</v>
      </c>
      <c r="C11" s="66" t="n">
        <f aca="false">VLOOKUP($B11,Unidades!$D$5:$N$24,6,FALSE())</f>
        <v>334.4</v>
      </c>
      <c r="D11" s="66" t="n">
        <f aca="false">VLOOKUP($B11,Unidades!$D$5:$N$24,7,FALSE())</f>
        <v>296</v>
      </c>
      <c r="E11" s="66" t="n">
        <f aca="false">VLOOKUP($B11,Unidades!$D$5:$N$24,8,FALSE())</f>
        <v>38.4</v>
      </c>
      <c r="F11" s="66" t="n">
        <f aca="false">VLOOKUP($B11,Unidades!$D$5:$N$24,9,FALSE())</f>
        <v>0</v>
      </c>
      <c r="G11" s="66" t="n">
        <f aca="false">D11+$E$6*E11+$F$6*F11</f>
        <v>309.44</v>
      </c>
      <c r="H11" s="67" t="n">
        <f aca="false">IF(G11&lt;750,1.5,IF(G11&lt;2000,2,IF(G11&lt;4000,3,12)))</f>
        <v>1.5</v>
      </c>
      <c r="I11" s="67" t="n">
        <f aca="false">$I$6*H11</f>
        <v>1.8</v>
      </c>
      <c r="J11" s="67" t="str">
        <f aca="false">VLOOKUP($B11,Unidades!$D$5:$N$24,10,FALSE())</f>
        <v>NÃO</v>
      </c>
      <c r="K11" s="67" t="str">
        <f aca="false">VLOOKUP($B11,Unidades!$D$5:$N$24,11,FALSE())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N11*(C$19+D$19),N11*(C$19+D$19)+(M11*+E$19))</f>
        <v>1809.01206</v>
      </c>
      <c r="P11" s="69"/>
      <c r="Q11" s="23" t="str">
        <f aca="false">B11</f>
        <v>APS RIO NEGRO</v>
      </c>
      <c r="R11" s="25" t="n">
        <f aca="false">H11*($C$19+$D$19)</f>
        <v>90.0006</v>
      </c>
      <c r="S11" s="25" t="n">
        <f aca="false">I11*($C$19+$D$19)</f>
        <v>108.00072</v>
      </c>
      <c r="T11" s="25" t="n">
        <f aca="false">L11*($C$19+$D$19)</f>
        <v>99.00066</v>
      </c>
      <c r="U11" s="25" t="n">
        <f aca="false">IF(K11="não",M11*($C$19+$D$19),M11*(C$19+D$19+E$19))</f>
        <v>99.00066</v>
      </c>
      <c r="V11" s="25" t="n">
        <f aca="false">VLOOKUP(Q11,'Desl. Base Joinville'!$C$5:$S$13,13,FALSE())*($C$19+$D$19+$E$19*(VLOOKUP(Q11,'Desl. Base Joinville'!$C$5:$S$13,17,FALSE())/12))</f>
        <v>138.00092</v>
      </c>
      <c r="W11" s="25" t="n">
        <f aca="false">VLOOKUP(Q11,'Desl. Base Joinville'!$C$5:$S$13,15,FALSE())*(2+(VLOOKUP(Q11,'Desl. Base Joinville'!$C$5:$S$13,17,FALSE())/12))</f>
        <v>0</v>
      </c>
      <c r="X11" s="25" t="n">
        <f aca="false">VLOOKUP(Q11,'Desl. Base Joinville'!$C$5:$Q$13,14,FALSE())</f>
        <v>0</v>
      </c>
      <c r="Y11" s="25" t="n">
        <f aca="false">VLOOKUP(Q11,'Desl. Base Joinville'!$C$5:Q$13,13,FALSE())*'Desl. Base Joinville'!$E$18+'Desl. Base Joinville'!$E$19*N11/12</f>
        <v>141.671</v>
      </c>
      <c r="Z11" s="25" t="n">
        <f aca="false">(H11/$AC$5)*'Equipe Técnica'!$C$13</f>
        <v>403.112166482315</v>
      </c>
      <c r="AA11" s="25" t="n">
        <f aca="false">(I11/$AC$5)*'Equipe Técnica'!$C$13</f>
        <v>483.734599778778</v>
      </c>
      <c r="AB11" s="25" t="n">
        <f aca="false">(L11/$AC$5)*'Equipe Técnica'!$C$13</f>
        <v>443.423383130547</v>
      </c>
      <c r="AC11" s="25" t="n">
        <f aca="false">(M11/$AC$5)*'Equipe Técnica'!$C$13</f>
        <v>443.423383130547</v>
      </c>
      <c r="AD11" s="25" t="n">
        <f aca="false">R11+(($V11+$W11+$X11+$Y11)*12/19)+$Z11</f>
        <v>669.74766332442</v>
      </c>
      <c r="AE11" s="25" t="n">
        <f aca="false">S11+(($V11+$W11+$X11+$Y11)*12/19)+$AA11</f>
        <v>768.370216620883</v>
      </c>
      <c r="AF11" s="25" t="n">
        <f aca="false">T11+(($V11+$W11+$X11+$Y11)*12/19)+$AB11</f>
        <v>719.058939972652</v>
      </c>
      <c r="AG11" s="25" t="n">
        <f aca="false">U11+(($V11+$W11+$X11+$Y11)*12/19)+$AC11</f>
        <v>719.058939972652</v>
      </c>
      <c r="AH11" s="144"/>
      <c r="AI11" s="23" t="str">
        <f aca="false">B11</f>
        <v>APS RIO NEGRO</v>
      </c>
      <c r="AJ11" s="70" t="n">
        <f aca="false">VLOOKUP(AI11,Unidades!D$5:H$24,5,)</f>
        <v>0.2223</v>
      </c>
      <c r="AK11" s="49" t="n">
        <f aca="false">AD11*(1+$AJ11)</f>
        <v>818.632568881439</v>
      </c>
      <c r="AL11" s="49" t="n">
        <f aca="false">AE11*(1+$AJ11)</f>
        <v>939.178915775706</v>
      </c>
      <c r="AM11" s="49" t="n">
        <f aca="false">AF11*(1+$AJ11)</f>
        <v>878.905742328573</v>
      </c>
      <c r="AN11" s="49" t="n">
        <f aca="false">AG11*(1+$AJ11)</f>
        <v>878.905742328573</v>
      </c>
      <c r="AO11" s="49" t="n">
        <f aca="false">((AK11*12)+(AL11*4)+(AM11*2)+AN11)/12</f>
        <v>1351.41864305548</v>
      </c>
      <c r="AP11" s="49" t="n">
        <f aca="false">AO11*$AP$6</f>
        <v>3562.83096805537</v>
      </c>
      <c r="AQ11" s="49" t="n">
        <f aca="false">AO11+AP11</f>
        <v>4914.24961111085</v>
      </c>
      <c r="AR11" s="71"/>
      <c r="AS11" s="74" t="s">
        <v>88</v>
      </c>
      <c r="AT11" s="49" t="n">
        <f aca="false">AT10*12</f>
        <v>187553.491943458</v>
      </c>
      <c r="AU11" s="49"/>
      <c r="AV11" s="73"/>
      <c r="AW11" s="73"/>
    </row>
    <row r="12" customFormat="false" ht="15" hidden="false" customHeight="true" outlineLevel="0" collapsed="false">
      <c r="B12" s="65" t="s">
        <v>135</v>
      </c>
      <c r="C12" s="66" t="n">
        <f aca="false">VLOOKUP($B12,Unidades!$D$5:$N$24,6,FALSE())</f>
        <v>780.2</v>
      </c>
      <c r="D12" s="66" t="n">
        <f aca="false">VLOOKUP($B12,Unidades!$D$5:$N$24,7,FALSE())</f>
        <v>578.2</v>
      </c>
      <c r="E12" s="66" t="n">
        <f aca="false">VLOOKUP($B12,Unidades!$D$5:$N$24,8,FALSE())</f>
        <v>155</v>
      </c>
      <c r="F12" s="66" t="n">
        <f aca="false">VLOOKUP($B12,Unidades!$D$5:$N$24,9,FALSE())</f>
        <v>47</v>
      </c>
      <c r="G12" s="66" t="n">
        <f aca="false">D12+$E$6*E12+$F$6*F12</f>
        <v>637.15</v>
      </c>
      <c r="H12" s="67" t="n">
        <f aca="false">IF(G12&lt;750,1.5,IF(G12&lt;2000,2,IF(G12&lt;4000,3,12)))</f>
        <v>1.5</v>
      </c>
      <c r="I12" s="67" t="n">
        <f aca="false">$I$6*H12</f>
        <v>1.8</v>
      </c>
      <c r="J12" s="67" t="str">
        <f aca="false">VLOOKUP($B12,Unidades!$D$5:$N$24,10,FALSE())</f>
        <v>NÃO</v>
      </c>
      <c r="K12" s="67" t="str">
        <f aca="false">VLOOKUP($B12,Unidades!$D$5:$N$24,11,FALSE())</f>
        <v>SIM</v>
      </c>
      <c r="L12" s="67" t="n">
        <f aca="false">$L$6*H12+(IF(J12="SIM",$J$6,0))</f>
        <v>1.65</v>
      </c>
      <c r="M12" s="67" t="n">
        <f aca="false">$M$6*H12+(IF(J12="SIM",$J$6,0))+(IF(K12="SIM",$K$6,0))</f>
        <v>5.65</v>
      </c>
      <c r="N12" s="67" t="n">
        <f aca="false">H12*12+I12*4+L12*2+M12</f>
        <v>34.15</v>
      </c>
      <c r="O12" s="68" t="n">
        <f aca="false">IF(K12="não", N12*(C$19+D$19),N12*(C$19+D$19)+(M12*+E$19))</f>
        <v>2306.03216</v>
      </c>
      <c r="P12" s="69"/>
      <c r="Q12" s="23" t="str">
        <f aca="false">B12</f>
        <v>APS SÃO BENTO DO SUL</v>
      </c>
      <c r="R12" s="25" t="n">
        <f aca="false">H12*($C$19+$D$19)</f>
        <v>90.0006</v>
      </c>
      <c r="S12" s="25" t="n">
        <f aca="false">I12*($C$19+$D$19)</f>
        <v>108.00072</v>
      </c>
      <c r="T12" s="25" t="n">
        <f aca="false">L12*($C$19+$D$19)</f>
        <v>99.00066</v>
      </c>
      <c r="U12" s="25" t="n">
        <f aca="false">IF(K12="não",M12*($C$19+$D$19),M12*(C$19+D$19+E$19))</f>
        <v>596.02076</v>
      </c>
      <c r="V12" s="25" t="n">
        <f aca="false">VLOOKUP(Q12,'Desl. Base Joinville'!$C$5:$S$13,13,FALSE())*($C$19+$D$19+$E$19*(VLOOKUP(Q12,'Desl. Base Joinville'!$C$5:$S$13,17,FALSE())/12))</f>
        <v>198.284416944444</v>
      </c>
      <c r="W12" s="25" t="n">
        <f aca="false">VLOOKUP(Q12,'Desl. Base Joinville'!$C$5:$S$13,15,FALSE())*(2+(VLOOKUP(Q12,'Desl. Base Joinville'!$C$5:$S$13,17,FALSE())/12))</f>
        <v>290.416666666667</v>
      </c>
      <c r="X12" s="25" t="n">
        <f aca="false">VLOOKUP(Q12,'Desl. Base Joinville'!$C$5:$Q$13,14,FALSE())</f>
        <v>0</v>
      </c>
      <c r="Y12" s="25" t="n">
        <f aca="false">VLOOKUP(Q12,'Desl. Base Joinville'!$C$5:Q$13,13,FALSE())*'Desl. Base Joinville'!$E$18+'Desl. Base Joinville'!$E$19*N12/12</f>
        <v>187.85525</v>
      </c>
      <c r="Z12" s="25" t="n">
        <f aca="false">(H12/$AC$5)*'Equipe Técnica'!$C$13</f>
        <v>403.112166482315</v>
      </c>
      <c r="AA12" s="25" t="n">
        <f aca="false">(I12/$AC$5)*'Equipe Técnica'!$C$13</f>
        <v>483.734599778778</v>
      </c>
      <c r="AB12" s="25" t="n">
        <f aca="false">(L12/$AC$5)*'Equipe Técnica'!$C$13</f>
        <v>443.423383130547</v>
      </c>
      <c r="AC12" s="25" t="n">
        <f aca="false">(M12/$AC$5)*'Equipe Técnica'!$C$13</f>
        <v>1518.38916041672</v>
      </c>
      <c r="AD12" s="25" t="n">
        <f aca="false">R12+(($V12+$W12+$X12+$Y12)*12/19)+$Z12</f>
        <v>920.411503499859</v>
      </c>
      <c r="AE12" s="25" t="n">
        <f aca="false">S12+(($V12+$W12+$X12+$Y12)*12/19)+$AA12</f>
        <v>1019.03405679632</v>
      </c>
      <c r="AF12" s="25" t="n">
        <f aca="false">T12+(($V12+$W12+$X12+$Y12)*12/19)+$AB12</f>
        <v>969.722780148091</v>
      </c>
      <c r="AG12" s="25" t="n">
        <f aca="false">U12+(($V12+$W12+$X12+$Y12)*12/19)+$AC12</f>
        <v>2541.70865743426</v>
      </c>
      <c r="AH12" s="144"/>
      <c r="AI12" s="23" t="str">
        <f aca="false">B12</f>
        <v>APS SÃO BENTO DO SUL</v>
      </c>
      <c r="AJ12" s="70" t="n">
        <f aca="false">VLOOKUP(AI12,Unidades!D$5:H$24,5,)</f>
        <v>0.2223</v>
      </c>
      <c r="AK12" s="49" t="n">
        <f aca="false">AD12*(1+$AJ12)</f>
        <v>1125.01898072788</v>
      </c>
      <c r="AL12" s="49" t="n">
        <f aca="false">AE12*(1+$AJ12)</f>
        <v>1245.56532762214</v>
      </c>
      <c r="AM12" s="49" t="n">
        <f aca="false">AF12*(1+$AJ12)</f>
        <v>1185.29215417501</v>
      </c>
      <c r="AN12" s="49" t="n">
        <f aca="false">AG12*(1+$AJ12)</f>
        <v>3106.7304919819</v>
      </c>
      <c r="AO12" s="49" t="n">
        <f aca="false">((AK12*12)+(AL12*4)+(AM12*2)+AN12)/12</f>
        <v>1996.65032329625</v>
      </c>
      <c r="AP12" s="49" t="n">
        <f aca="false">AO12*$AP$6</f>
        <v>5263.89630687194</v>
      </c>
      <c r="AQ12" s="49" t="n">
        <f aca="false">AO12+AP12</f>
        <v>7260.54663016819</v>
      </c>
      <c r="AR12" s="71"/>
      <c r="AS12" s="74" t="s">
        <v>73</v>
      </c>
      <c r="AT12" s="49" t="n">
        <f aca="false">AP16</f>
        <v>41204.9338360627</v>
      </c>
      <c r="AU12" s="49"/>
      <c r="AV12" s="71"/>
      <c r="AW12" s="71"/>
    </row>
    <row r="13" customFormat="false" ht="15" hidden="false" customHeight="true" outlineLevel="0" collapsed="false">
      <c r="B13" s="65" t="s">
        <v>136</v>
      </c>
      <c r="C13" s="66" t="n">
        <f aca="false">VLOOKUP($B13,Unidades!$D$5:$N$24,6,FALSE())</f>
        <v>389.8</v>
      </c>
      <c r="D13" s="66" t="n">
        <f aca="false">VLOOKUP($B13,Unidades!$D$5:$N$24,7,FALSE())</f>
        <v>349.8</v>
      </c>
      <c r="E13" s="66" t="n">
        <f aca="false">VLOOKUP($B13,Unidades!$D$5:$N$24,8,FALSE())</f>
        <v>40</v>
      </c>
      <c r="F13" s="66" t="n">
        <f aca="false">VLOOKUP($B13,Unidades!$D$5:$N$24,9,FALSE())</f>
        <v>0</v>
      </c>
      <c r="G13" s="66" t="n">
        <f aca="false">D13+$E$6*E13+$F$6*F13</f>
        <v>363.8</v>
      </c>
      <c r="H13" s="67" t="n">
        <f aca="false">IF(G13&lt;750,1.5,IF(G13&lt;2000,2,IF(G13&lt;4000,3,12)))</f>
        <v>1.5</v>
      </c>
      <c r="I13" s="67" t="n">
        <f aca="false">$I$6*H13</f>
        <v>1.8</v>
      </c>
      <c r="J13" s="67" t="str">
        <f aca="false">VLOOKUP($B13,Unidades!$D$5:$N$24,10,FALSE())</f>
        <v>NÃO</v>
      </c>
      <c r="K13" s="67" t="str">
        <f aca="false">VLOOKUP($B13,Unidades!$D$5:$N$24,11,FALSE())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N13*(C$19+D$19),N13*(C$19+D$19)+(M13*+E$19))</f>
        <v>1809.01206</v>
      </c>
      <c r="P13" s="69"/>
      <c r="Q13" s="23" t="str">
        <f aca="false">B13</f>
        <v>APS SÃO FRANCISCO DO SUL</v>
      </c>
      <c r="R13" s="25" t="n">
        <f aca="false">H13*($C$19+$D$19)</f>
        <v>90.0006</v>
      </c>
      <c r="S13" s="25" t="n">
        <f aca="false">I13*($C$19+$D$19)</f>
        <v>108.00072</v>
      </c>
      <c r="T13" s="25" t="n">
        <f aca="false">L13*($C$19+$D$19)</f>
        <v>99.00066</v>
      </c>
      <c r="U13" s="25" t="n">
        <f aca="false">IF(K13="não",M13*($C$19+$D$19),M13*(C$19+D$19+E$19))</f>
        <v>99.00066</v>
      </c>
      <c r="V13" s="25" t="n">
        <f aca="false">VLOOKUP(Q13,'Desl. Base Joinville'!$C$5:$S$13,13,FALSE())*($C$19+$D$19+$E$19*(VLOOKUP(Q13,'Desl. Base Joinville'!$C$5:$S$13,17,FALSE())/12))</f>
        <v>114.00076</v>
      </c>
      <c r="W13" s="25" t="n">
        <f aca="false">VLOOKUP(Q13,'Desl. Base Joinville'!$C$5:$S$13,15,FALSE())*(2+(VLOOKUP(Q13,'Desl. Base Joinville'!$C$5:$S$13,17,FALSE())/12))</f>
        <v>0</v>
      </c>
      <c r="X13" s="25" t="n">
        <f aca="false">VLOOKUP(Q13,'Desl. Base Joinville'!$C$5:$Q$13,14,FALSE())</f>
        <v>0</v>
      </c>
      <c r="Y13" s="25" t="n">
        <f aca="false">VLOOKUP(Q13,'Desl. Base Joinville'!$C$5:Q$13,13,FALSE())*'Desl. Base Joinville'!$E$18+'Desl. Base Joinville'!$E$19*N13/12</f>
        <v>119.899</v>
      </c>
      <c r="Z13" s="25" t="n">
        <f aca="false">(H13/$AC$5)*'Equipe Técnica'!$C$13</f>
        <v>403.112166482315</v>
      </c>
      <c r="AA13" s="25" t="n">
        <f aca="false">(I13/$AC$5)*'Equipe Técnica'!$C$13</f>
        <v>483.734599778778</v>
      </c>
      <c r="AB13" s="25" t="n">
        <f aca="false">(L13/$AC$5)*'Equipe Técnica'!$C$13</f>
        <v>443.423383130547</v>
      </c>
      <c r="AC13" s="25" t="n">
        <f aca="false">(M13/$AC$5)*'Equipe Técnica'!$C$13</f>
        <v>443.423383130547</v>
      </c>
      <c r="AD13" s="25" t="n">
        <f aca="false">R13+(($V13+$W13+$X13+$Y13)*12/19)+$Z13</f>
        <v>640.838930692841</v>
      </c>
      <c r="AE13" s="25" t="n">
        <f aca="false">S13+(($V13+$W13+$X13+$Y13)*12/19)+$AA13</f>
        <v>739.461483989304</v>
      </c>
      <c r="AF13" s="25" t="n">
        <f aca="false">T13+(($V13+$W13+$X13+$Y13)*12/19)+$AB13</f>
        <v>690.150207341073</v>
      </c>
      <c r="AG13" s="25" t="n">
        <f aca="false">U13+(($V13+$W13+$X13+$Y13)*12/19)+$AC13</f>
        <v>690.150207341073</v>
      </c>
      <c r="AH13" s="144"/>
      <c r="AI13" s="23" t="str">
        <f aca="false">B13</f>
        <v>APS SÃO FRANCISCO DO SUL</v>
      </c>
      <c r="AJ13" s="70" t="n">
        <f aca="false">VLOOKUP(AI13,Unidades!D$5:H$24,5,)</f>
        <v>0.2354</v>
      </c>
      <c r="AK13" s="49" t="n">
        <f aca="false">AD13*(1+$AJ13)</f>
        <v>791.692414977936</v>
      </c>
      <c r="AL13" s="49" t="n">
        <f aca="false">AE13*(1+$AJ13)</f>
        <v>913.530717320387</v>
      </c>
      <c r="AM13" s="49" t="n">
        <f aca="false">AF13*(1+$AJ13)</f>
        <v>852.611566149162</v>
      </c>
      <c r="AN13" s="49" t="n">
        <f aca="false">AG13*(1+$AJ13)</f>
        <v>852.611566149162</v>
      </c>
      <c r="AO13" s="49" t="n">
        <f aca="false">((AK13*12)+(AL13*4)+(AM13*2)+AN13)/12</f>
        <v>1309.35554562202</v>
      </c>
      <c r="AP13" s="49" t="n">
        <f aca="false">AO13*$AP$6</f>
        <v>3451.93734754897</v>
      </c>
      <c r="AQ13" s="49" t="n">
        <f aca="false">AO13+AP13</f>
        <v>4761.29289317099</v>
      </c>
      <c r="AR13" s="71"/>
      <c r="AS13" s="74" t="s">
        <v>91</v>
      </c>
      <c r="AT13" s="49" t="n">
        <f aca="false">AT12*12</f>
        <v>494459.206032753</v>
      </c>
      <c r="AU13" s="49"/>
      <c r="AV13" s="73"/>
      <c r="AW13" s="73"/>
    </row>
    <row r="14" customFormat="false" ht="15" hidden="false" customHeight="true" outlineLevel="0" collapsed="false">
      <c r="B14" s="65" t="s">
        <v>137</v>
      </c>
      <c r="C14" s="66" t="n">
        <f aca="false">VLOOKUP($B14,Unidades!$D$5:$N$24,6,FALSE())</f>
        <v>3091</v>
      </c>
      <c r="D14" s="66" t="n">
        <f aca="false">VLOOKUP($B14,Unidades!$D$5:$N$24,7,FALSE())</f>
        <v>2231.68</v>
      </c>
      <c r="E14" s="66" t="n">
        <f aca="false">VLOOKUP($B14,Unidades!$D$5:$N$24,8,FALSE())</f>
        <v>859.32</v>
      </c>
      <c r="F14" s="66" t="n">
        <f aca="false">VLOOKUP($B14,Unidades!$D$5:$N$24,9,FALSE())</f>
        <v>0</v>
      </c>
      <c r="G14" s="66" t="n">
        <f aca="false">D14+$E$6*E14+$F$6*F14</f>
        <v>2532.442</v>
      </c>
      <c r="H14" s="67" t="n">
        <f aca="false">IF(G14&lt;750,1.5,IF(G14&lt;2000,2,IF(G14&lt;4000,3,12)))</f>
        <v>3</v>
      </c>
      <c r="I14" s="67" t="n">
        <f aca="false">$I$6*H14</f>
        <v>3.6</v>
      </c>
      <c r="J14" s="67" t="str">
        <f aca="false">VLOOKUP($B14,Unidades!$D$5:$N$24,10,FALSE())</f>
        <v>NÃO</v>
      </c>
      <c r="K14" s="67" t="str">
        <f aca="false">VLOOKUP($B14,Unidades!$D$5:$N$24,11,FALSE())</f>
        <v>SIM</v>
      </c>
      <c r="L14" s="67" t="n">
        <f aca="false">$L$6*H14+(IF(J14="SIM",$J$6,0))</f>
        <v>3.3</v>
      </c>
      <c r="M14" s="67" t="n">
        <f aca="false">$M$6*H14+(IF(J14="SIM",$J$6,0))+(IF(K14="SIM",$K$6,0))</f>
        <v>7.3</v>
      </c>
      <c r="N14" s="67" t="n">
        <f aca="false">H14*12+I14*4+L14*2+M14</f>
        <v>64.3</v>
      </c>
      <c r="O14" s="68" t="n">
        <f aca="false">IF(K14="não", N14*(C$19+D$19),N14*(C$19+D$19)+(M14*+E$19))</f>
        <v>4190.10272</v>
      </c>
      <c r="P14" s="69"/>
      <c r="Q14" s="23" t="str">
        <f aca="false">B14</f>
        <v>GEX/APS JOINVILLE</v>
      </c>
      <c r="R14" s="25" t="n">
        <f aca="false">H14*($C$19+$D$19)</f>
        <v>180.0012</v>
      </c>
      <c r="S14" s="25" t="n">
        <f aca="false">I14*($C$19+$D$19)</f>
        <v>216.00144</v>
      </c>
      <c r="T14" s="25" t="n">
        <f aca="false">L14*($C$19+$D$19)</f>
        <v>198.00132</v>
      </c>
      <c r="U14" s="25" t="n">
        <f aca="false">IF(K14="não",M14*($C$19+$D$19),M14*(C$19+D$19+E$19))</f>
        <v>770.07992</v>
      </c>
      <c r="V14" s="25" t="n">
        <f aca="false">VLOOKUP(Q14,'Desl. Base Joinville'!$C$5:$S$13,13,FALSE())*($C$19+$D$19+$E$19*(VLOOKUP(Q14,'Desl. Base Joinville'!$C$5:$S$13,17,FALSE())/12))</f>
        <v>6.37912333333333</v>
      </c>
      <c r="W14" s="25" t="n">
        <f aca="false">VLOOKUP(Q14,'Desl. Base Joinville'!$C$5:$S$13,15,FALSE())*(2+(VLOOKUP(Q14,'Desl. Base Joinville'!$C$5:$S$13,17,FALSE())/12))</f>
        <v>0</v>
      </c>
      <c r="X14" s="25" t="n">
        <f aca="false">VLOOKUP(Q14,'Desl. Base Joinville'!$C$5:$Q$13,14,FALSE())</f>
        <v>0</v>
      </c>
      <c r="Y14" s="25" t="n">
        <f aca="false">VLOOKUP(Q14,'Desl. Base Joinville'!$C$5:Q$13,13,FALSE())*'Desl. Base Joinville'!$E$18+'Desl. Base Joinville'!$E$19*N14/12</f>
        <v>40.5936666666667</v>
      </c>
      <c r="Z14" s="25" t="n">
        <f aca="false">(H14/$AC$5)*'Equipe Técnica'!$C$13</f>
        <v>806.22433296463</v>
      </c>
      <c r="AA14" s="25" t="n">
        <f aca="false">(I14/$AC$5)*'Equipe Técnica'!$C$13</f>
        <v>967.469199557556</v>
      </c>
      <c r="AB14" s="25" t="n">
        <f aca="false">(L14/$AC$5)*'Equipe Técnica'!$C$13</f>
        <v>886.846766261093</v>
      </c>
      <c r="AC14" s="25" t="n">
        <f aca="false">(M14/$AC$5)*'Equipe Técnica'!$C$13</f>
        <v>1961.81254354727</v>
      </c>
      <c r="AD14" s="25" t="n">
        <f aca="false">R14+(($V14+$W14+$X14+$Y14)*12/19)+$Z14</f>
        <v>1015.89255822779</v>
      </c>
      <c r="AE14" s="25" t="n">
        <f aca="false">S14+(($V14+$W14+$X14+$Y14)*12/19)+$AA14</f>
        <v>1213.13766482071</v>
      </c>
      <c r="AF14" s="25" t="n">
        <f aca="false">T14+(($V14+$W14+$X14+$Y14)*12/19)+$AB14</f>
        <v>1114.51511152425</v>
      </c>
      <c r="AG14" s="25" t="n">
        <f aca="false">U14+(($V14+$W14+$X14+$Y14)*12/19)+$AC14</f>
        <v>2761.55948881043</v>
      </c>
      <c r="AH14" s="144"/>
      <c r="AI14" s="23" t="str">
        <f aca="false">B14</f>
        <v>GEX/APS JOINVILLE</v>
      </c>
      <c r="AJ14" s="70" t="n">
        <f aca="false">VLOOKUP(AI14,Unidades!D$5:H$24,5,)</f>
        <v>0.2223</v>
      </c>
      <c r="AK14" s="49" t="n">
        <f aca="false">AD14*(1+$AJ14)</f>
        <v>1241.72547392183</v>
      </c>
      <c r="AL14" s="49" t="n">
        <f aca="false">AE14*(1+$AJ14)</f>
        <v>1482.81816771036</v>
      </c>
      <c r="AM14" s="49" t="n">
        <f aca="false">AF14*(1+$AJ14)</f>
        <v>1362.27182081609</v>
      </c>
      <c r="AN14" s="49" t="n">
        <f aca="false">AG14*(1+$AJ14)</f>
        <v>3375.45416317298</v>
      </c>
      <c r="AO14" s="49" t="n">
        <f aca="false">((AK14*12)+(AL14*4)+(AM14*2)+AN14)/12</f>
        <v>2244.33134689238</v>
      </c>
      <c r="AP14" s="49" t="n">
        <f aca="false">AO14*$AP$6</f>
        <v>5916.87355089808</v>
      </c>
      <c r="AQ14" s="49" t="n">
        <f aca="false">AO14+AP14</f>
        <v>8161.20489779046</v>
      </c>
      <c r="AR14" s="71"/>
      <c r="AS14" s="74" t="s">
        <v>74</v>
      </c>
      <c r="AT14" s="49" t="n">
        <f aca="false">AT10+AT12</f>
        <v>56834.3914980175</v>
      </c>
      <c r="AU14" s="49"/>
      <c r="AV14" s="73"/>
      <c r="AW14" s="73"/>
      <c r="IW14" s="145"/>
      <c r="IX14" s="145"/>
      <c r="IY14" s="145"/>
      <c r="IZ14" s="145"/>
      <c r="JA14" s="145"/>
      <c r="JB14" s="145"/>
      <c r="JC14" s="145"/>
      <c r="JD14" s="145"/>
      <c r="JE14" s="145"/>
      <c r="JF14" s="145"/>
      <c r="JG14" s="145"/>
      <c r="JH14" s="145"/>
      <c r="JI14" s="145"/>
      <c r="JJ14" s="145"/>
      <c r="JK14" s="145"/>
      <c r="JL14" s="145"/>
      <c r="JM14" s="145"/>
      <c r="JN14" s="145"/>
      <c r="JO14" s="145"/>
      <c r="JP14" s="145"/>
      <c r="JQ14" s="145"/>
      <c r="JR14" s="145"/>
      <c r="JS14" s="145"/>
      <c r="JT14" s="145"/>
      <c r="JU14" s="145"/>
      <c r="JV14" s="145"/>
      <c r="JW14" s="145"/>
      <c r="JX14" s="145"/>
      <c r="JY14" s="145"/>
      <c r="JZ14" s="145"/>
      <c r="KA14" s="145"/>
      <c r="KB14" s="145"/>
      <c r="KC14" s="145"/>
      <c r="KD14" s="145"/>
      <c r="KE14" s="145"/>
      <c r="KF14" s="145"/>
      <c r="KG14" s="145"/>
      <c r="KH14" s="145"/>
      <c r="KI14" s="145"/>
      <c r="KJ14" s="145"/>
      <c r="KK14" s="145"/>
      <c r="KL14" s="145"/>
      <c r="KM14" s="145"/>
      <c r="KN14" s="145"/>
      <c r="KO14" s="145"/>
      <c r="KP14" s="145"/>
      <c r="KQ14" s="145"/>
      <c r="KR14" s="145"/>
      <c r="KS14" s="145"/>
      <c r="KT14" s="145"/>
      <c r="KU14" s="145"/>
      <c r="KV14" s="145"/>
      <c r="KW14" s="145"/>
      <c r="KX14" s="145"/>
      <c r="KY14" s="145"/>
      <c r="KZ14" s="145"/>
      <c r="LA14" s="145"/>
      <c r="LB14" s="145"/>
      <c r="LC14" s="145"/>
      <c r="LD14" s="145"/>
      <c r="LE14" s="145"/>
      <c r="LF14" s="145"/>
      <c r="LG14" s="145"/>
      <c r="LH14" s="145"/>
      <c r="LI14" s="145"/>
      <c r="LJ14" s="145"/>
      <c r="LK14" s="145"/>
      <c r="LL14" s="145"/>
      <c r="LM14" s="145"/>
      <c r="LN14" s="145"/>
      <c r="LO14" s="145"/>
      <c r="LP14" s="145"/>
      <c r="LQ14" s="145"/>
      <c r="LR14" s="145"/>
      <c r="LS14" s="145"/>
      <c r="LT14" s="145"/>
      <c r="LU14" s="145"/>
      <c r="LV14" s="145"/>
      <c r="LW14" s="145"/>
      <c r="LX14" s="145"/>
      <c r="LY14" s="145"/>
      <c r="LZ14" s="145"/>
      <c r="MA14" s="145"/>
      <c r="MB14" s="145"/>
      <c r="MC14" s="145"/>
      <c r="MD14" s="145"/>
      <c r="ME14" s="145"/>
      <c r="MF14" s="145"/>
      <c r="MG14" s="145"/>
      <c r="MH14" s="145"/>
      <c r="MI14" s="145"/>
      <c r="MJ14" s="145"/>
      <c r="MK14" s="145"/>
      <c r="ML14" s="145"/>
      <c r="MM14" s="145"/>
      <c r="MN14" s="145"/>
      <c r="MO14" s="145"/>
      <c r="MP14" s="145"/>
      <c r="MQ14" s="145"/>
      <c r="MR14" s="145"/>
      <c r="MS14" s="145"/>
      <c r="MT14" s="145"/>
      <c r="MU14" s="145"/>
      <c r="MV14" s="145"/>
      <c r="MW14" s="145"/>
      <c r="MX14" s="145"/>
      <c r="MY14" s="145"/>
      <c r="MZ14" s="145"/>
      <c r="NA14" s="145"/>
      <c r="NB14" s="145"/>
      <c r="NC14" s="145"/>
      <c r="ND14" s="145"/>
      <c r="NE14" s="145"/>
      <c r="NF14" s="145"/>
      <c r="NG14" s="145"/>
      <c r="NH14" s="145"/>
      <c r="NI14" s="145"/>
      <c r="NJ14" s="145"/>
      <c r="NK14" s="145"/>
      <c r="NL14" s="145"/>
      <c r="NM14" s="145"/>
      <c r="NN14" s="145"/>
      <c r="NO14" s="145"/>
      <c r="NP14" s="145"/>
      <c r="NQ14" s="145"/>
      <c r="NR14" s="145"/>
      <c r="NS14" s="145"/>
      <c r="NT14" s="145"/>
      <c r="NU14" s="145"/>
      <c r="NV14" s="145"/>
      <c r="NW14" s="145"/>
      <c r="NX14" s="145"/>
      <c r="NY14" s="145"/>
      <c r="NZ14" s="145"/>
      <c r="OA14" s="145"/>
      <c r="OB14" s="145"/>
      <c r="OC14" s="145"/>
      <c r="OD14" s="145"/>
      <c r="OE14" s="145"/>
      <c r="OF14" s="145"/>
      <c r="OG14" s="145"/>
      <c r="OH14" s="145"/>
      <c r="OI14" s="145"/>
      <c r="OJ14" s="145"/>
      <c r="OK14" s="145"/>
      <c r="OL14" s="145"/>
      <c r="OM14" s="145"/>
      <c r="ON14" s="145"/>
      <c r="OO14" s="145"/>
      <c r="OP14" s="145"/>
      <c r="OQ14" s="145"/>
      <c r="OR14" s="145"/>
      <c r="OS14" s="145"/>
      <c r="OT14" s="145"/>
      <c r="OU14" s="145"/>
      <c r="OV14" s="145"/>
      <c r="OW14" s="145"/>
      <c r="OX14" s="145"/>
      <c r="OY14" s="145"/>
      <c r="OZ14" s="145"/>
      <c r="PA14" s="145"/>
      <c r="PB14" s="145"/>
      <c r="PC14" s="145"/>
      <c r="PD14" s="145"/>
      <c r="PE14" s="145"/>
      <c r="PF14" s="145"/>
      <c r="PG14" s="145"/>
      <c r="PH14" s="145"/>
      <c r="PI14" s="145"/>
      <c r="PJ14" s="145"/>
      <c r="PK14" s="145"/>
      <c r="PL14" s="145"/>
      <c r="PM14" s="145"/>
      <c r="PN14" s="145"/>
      <c r="PO14" s="145"/>
      <c r="PP14" s="145"/>
      <c r="PQ14" s="145"/>
      <c r="PR14" s="145"/>
      <c r="PS14" s="145"/>
      <c r="PT14" s="145"/>
      <c r="PU14" s="145"/>
      <c r="PV14" s="145"/>
      <c r="PW14" s="145"/>
      <c r="PX14" s="145"/>
      <c r="PY14" s="145"/>
      <c r="PZ14" s="145"/>
      <c r="QA14" s="145"/>
      <c r="QB14" s="145"/>
      <c r="QC14" s="145"/>
      <c r="QD14" s="145"/>
      <c r="QE14" s="145"/>
      <c r="QF14" s="145"/>
      <c r="QG14" s="145"/>
      <c r="QH14" s="145"/>
      <c r="QI14" s="145"/>
      <c r="QJ14" s="145"/>
      <c r="QK14" s="145"/>
      <c r="QL14" s="145"/>
      <c r="QM14" s="145"/>
      <c r="QN14" s="145"/>
      <c r="QO14" s="145"/>
      <c r="QP14" s="145"/>
      <c r="QQ14" s="145"/>
      <c r="QR14" s="145"/>
      <c r="QS14" s="145"/>
      <c r="QT14" s="145"/>
      <c r="QU14" s="145"/>
      <c r="QV14" s="145"/>
      <c r="QW14" s="145"/>
      <c r="QX14" s="145"/>
      <c r="QY14" s="145"/>
      <c r="QZ14" s="145"/>
      <c r="RA14" s="145"/>
      <c r="RB14" s="145"/>
      <c r="RC14" s="145"/>
      <c r="RD14" s="145"/>
      <c r="RE14" s="145"/>
      <c r="RF14" s="145"/>
      <c r="RG14" s="145"/>
      <c r="RH14" s="145"/>
      <c r="RI14" s="145"/>
      <c r="RJ14" s="145"/>
      <c r="RK14" s="145"/>
      <c r="RL14" s="145"/>
      <c r="RM14" s="145"/>
      <c r="RN14" s="145"/>
      <c r="RO14" s="145"/>
      <c r="RP14" s="145"/>
      <c r="RQ14" s="145"/>
      <c r="RR14" s="145"/>
      <c r="RS14" s="145"/>
      <c r="RT14" s="145"/>
      <c r="RU14" s="145"/>
      <c r="RV14" s="145"/>
      <c r="RW14" s="145"/>
      <c r="RX14" s="145"/>
      <c r="RY14" s="145"/>
      <c r="RZ14" s="145"/>
      <c r="SA14" s="145"/>
      <c r="SB14" s="145"/>
      <c r="SC14" s="145"/>
      <c r="SD14" s="145"/>
      <c r="SE14" s="145"/>
      <c r="SF14" s="145"/>
      <c r="SG14" s="145"/>
      <c r="SH14" s="145"/>
      <c r="SI14" s="145"/>
      <c r="SJ14" s="145"/>
      <c r="SK14" s="145"/>
      <c r="SL14" s="145"/>
      <c r="SM14" s="145"/>
      <c r="SN14" s="145"/>
      <c r="SO14" s="145"/>
      <c r="SP14" s="145"/>
      <c r="SQ14" s="145"/>
      <c r="SR14" s="145"/>
      <c r="SS14" s="145"/>
      <c r="ST14" s="145"/>
      <c r="SU14" s="145"/>
      <c r="SV14" s="145"/>
      <c r="SW14" s="145"/>
      <c r="SX14" s="145"/>
      <c r="SY14" s="145"/>
      <c r="SZ14" s="145"/>
      <c r="TA14" s="145"/>
      <c r="TB14" s="145"/>
      <c r="TC14" s="145"/>
      <c r="TD14" s="145"/>
      <c r="TE14" s="145"/>
      <c r="TF14" s="145"/>
      <c r="TG14" s="145"/>
      <c r="TH14" s="145"/>
      <c r="TI14" s="145"/>
      <c r="TJ14" s="145"/>
      <c r="TK14" s="145"/>
      <c r="TL14" s="145"/>
      <c r="TM14" s="145"/>
      <c r="TN14" s="145"/>
      <c r="TO14" s="145"/>
      <c r="TP14" s="145"/>
      <c r="TQ14" s="145"/>
      <c r="TR14" s="145"/>
      <c r="TS14" s="145"/>
      <c r="TT14" s="145"/>
      <c r="TU14" s="145"/>
      <c r="TV14" s="145"/>
      <c r="TW14" s="145"/>
      <c r="TX14" s="145"/>
      <c r="TY14" s="145"/>
      <c r="TZ14" s="145"/>
      <c r="UA14" s="145"/>
      <c r="UB14" s="145"/>
      <c r="UC14" s="145"/>
      <c r="UD14" s="145"/>
      <c r="UE14" s="145"/>
      <c r="UF14" s="145"/>
      <c r="UG14" s="145"/>
      <c r="UH14" s="145"/>
      <c r="UI14" s="145"/>
      <c r="UJ14" s="145"/>
      <c r="UK14" s="145"/>
      <c r="UL14" s="145"/>
      <c r="UM14" s="145"/>
      <c r="UN14" s="145"/>
      <c r="UO14" s="145"/>
      <c r="UP14" s="145"/>
      <c r="UQ14" s="145"/>
      <c r="UR14" s="145"/>
      <c r="US14" s="145"/>
      <c r="UT14" s="145"/>
      <c r="UU14" s="145"/>
      <c r="UV14" s="145"/>
      <c r="UW14" s="145"/>
      <c r="UX14" s="145"/>
      <c r="UY14" s="145"/>
      <c r="UZ14" s="145"/>
      <c r="VA14" s="145"/>
      <c r="VB14" s="145"/>
      <c r="VC14" s="145"/>
      <c r="VD14" s="145"/>
      <c r="VE14" s="145"/>
      <c r="VF14" s="145"/>
      <c r="VG14" s="145"/>
      <c r="VH14" s="145"/>
      <c r="VI14" s="145"/>
      <c r="VJ14" s="145"/>
      <c r="VK14" s="145"/>
      <c r="VL14" s="145"/>
      <c r="VM14" s="145"/>
      <c r="VN14" s="145"/>
      <c r="VO14" s="145"/>
      <c r="VP14" s="145"/>
      <c r="VQ14" s="145"/>
      <c r="VR14" s="145"/>
      <c r="VS14" s="145"/>
      <c r="VT14" s="145"/>
      <c r="VU14" s="145"/>
      <c r="VV14" s="145"/>
      <c r="VW14" s="145"/>
      <c r="VX14" s="145"/>
      <c r="VY14" s="145"/>
      <c r="VZ14" s="145"/>
      <c r="WA14" s="145"/>
      <c r="WB14" s="145"/>
      <c r="WC14" s="145"/>
      <c r="WD14" s="145"/>
      <c r="WE14" s="145"/>
      <c r="WF14" s="145"/>
      <c r="WG14" s="145"/>
      <c r="WH14" s="145"/>
      <c r="WI14" s="145"/>
      <c r="WJ14" s="145"/>
      <c r="WK14" s="145"/>
      <c r="WL14" s="145"/>
      <c r="WM14" s="145"/>
      <c r="WN14" s="145"/>
      <c r="WO14" s="145"/>
      <c r="WP14" s="145"/>
      <c r="WQ14" s="145"/>
      <c r="WR14" s="145"/>
      <c r="WS14" s="145"/>
      <c r="WT14" s="145"/>
      <c r="WU14" s="145"/>
      <c r="WV14" s="145"/>
      <c r="WW14" s="145"/>
      <c r="WX14" s="145"/>
      <c r="WY14" s="145"/>
      <c r="WZ14" s="145"/>
      <c r="XA14" s="145"/>
      <c r="XB14" s="145"/>
      <c r="XC14" s="145"/>
      <c r="XD14" s="145"/>
      <c r="XE14" s="145"/>
      <c r="XF14" s="145"/>
      <c r="XG14" s="145"/>
      <c r="XH14" s="145"/>
      <c r="XI14" s="145"/>
      <c r="XJ14" s="145"/>
      <c r="XK14" s="145"/>
      <c r="XL14" s="145"/>
      <c r="XM14" s="145"/>
      <c r="XN14" s="145"/>
      <c r="XO14" s="145"/>
      <c r="XP14" s="145"/>
      <c r="XQ14" s="145"/>
      <c r="XR14" s="145"/>
      <c r="XS14" s="145"/>
      <c r="XT14" s="145"/>
      <c r="XU14" s="145"/>
      <c r="XV14" s="145"/>
      <c r="XW14" s="145"/>
      <c r="XX14" s="145"/>
      <c r="XY14" s="145"/>
      <c r="XZ14" s="145"/>
      <c r="YA14" s="145"/>
      <c r="YB14" s="145"/>
      <c r="YC14" s="145"/>
      <c r="YD14" s="145"/>
      <c r="YE14" s="145"/>
      <c r="YF14" s="145"/>
      <c r="YG14" s="145"/>
      <c r="YH14" s="145"/>
      <c r="YI14" s="145"/>
      <c r="YJ14" s="145"/>
      <c r="YK14" s="145"/>
      <c r="YL14" s="145"/>
      <c r="YM14" s="145"/>
      <c r="YN14" s="145"/>
      <c r="YO14" s="145"/>
      <c r="YP14" s="145"/>
      <c r="YQ14" s="145"/>
      <c r="YR14" s="145"/>
      <c r="YS14" s="145"/>
      <c r="YT14" s="145"/>
      <c r="YU14" s="145"/>
      <c r="YV14" s="145"/>
      <c r="YW14" s="145"/>
      <c r="YX14" s="145"/>
      <c r="YY14" s="145"/>
      <c r="YZ14" s="145"/>
      <c r="ZA14" s="145"/>
      <c r="ZB14" s="145"/>
      <c r="ZC14" s="145"/>
      <c r="ZD14" s="145"/>
      <c r="ZE14" s="145"/>
      <c r="ZF14" s="145"/>
      <c r="ZG14" s="145"/>
      <c r="ZH14" s="145"/>
      <c r="ZI14" s="145"/>
      <c r="ZJ14" s="145"/>
      <c r="ZK14" s="145"/>
      <c r="ZL14" s="145"/>
      <c r="ZM14" s="145"/>
      <c r="ZN14" s="145"/>
      <c r="ZO14" s="145"/>
      <c r="ZP14" s="145"/>
      <c r="ZQ14" s="145"/>
      <c r="ZR14" s="145"/>
      <c r="ZS14" s="145"/>
      <c r="ZT14" s="145"/>
      <c r="ZU14" s="145"/>
      <c r="ZV14" s="145"/>
      <c r="ZW14" s="145"/>
      <c r="ZX14" s="145"/>
      <c r="ZY14" s="145"/>
      <c r="ZZ14" s="145"/>
      <c r="AAA14" s="145"/>
      <c r="AAB14" s="145"/>
      <c r="AAC14" s="145"/>
      <c r="AAD14" s="145"/>
      <c r="AAE14" s="145"/>
      <c r="AAF14" s="145"/>
      <c r="AAG14" s="145"/>
      <c r="AAH14" s="145"/>
      <c r="AAI14" s="145"/>
      <c r="AAJ14" s="145"/>
      <c r="AAK14" s="145"/>
      <c r="AAL14" s="145"/>
      <c r="AAM14" s="145"/>
      <c r="AAN14" s="145"/>
      <c r="AAO14" s="145"/>
      <c r="AAP14" s="145"/>
      <c r="AAQ14" s="145"/>
      <c r="AAR14" s="145"/>
      <c r="AAS14" s="145"/>
      <c r="AAT14" s="145"/>
      <c r="AAU14" s="145"/>
      <c r="AAV14" s="145"/>
      <c r="AAW14" s="145"/>
      <c r="AAX14" s="145"/>
      <c r="AAY14" s="145"/>
      <c r="AAZ14" s="145"/>
      <c r="ABA14" s="145"/>
      <c r="ABB14" s="145"/>
      <c r="ABC14" s="145"/>
      <c r="ABD14" s="145"/>
      <c r="ABE14" s="145"/>
      <c r="ABF14" s="145"/>
      <c r="ABG14" s="145"/>
      <c r="ABH14" s="145"/>
      <c r="ABI14" s="145"/>
      <c r="ABJ14" s="145"/>
      <c r="ABK14" s="145"/>
      <c r="ABL14" s="145"/>
      <c r="ABM14" s="145"/>
      <c r="ABN14" s="145"/>
      <c r="ABO14" s="145"/>
      <c r="ABP14" s="145"/>
      <c r="ABQ14" s="145"/>
      <c r="ABR14" s="145"/>
      <c r="ABS14" s="145"/>
      <c r="ABT14" s="145"/>
      <c r="ABU14" s="145"/>
      <c r="ABV14" s="145"/>
      <c r="ABW14" s="145"/>
      <c r="ABX14" s="145"/>
      <c r="ABY14" s="145"/>
      <c r="ABZ14" s="145"/>
      <c r="ACA14" s="145"/>
      <c r="ACB14" s="145"/>
      <c r="ACC14" s="145"/>
      <c r="ACD14" s="145"/>
      <c r="ACE14" s="145"/>
      <c r="ACF14" s="145"/>
      <c r="ACG14" s="145"/>
      <c r="ACH14" s="145"/>
      <c r="ACI14" s="145"/>
      <c r="ACJ14" s="145"/>
      <c r="ACK14" s="145"/>
      <c r="ACL14" s="145"/>
      <c r="ACM14" s="145"/>
      <c r="ACN14" s="145"/>
      <c r="ACO14" s="145"/>
      <c r="ACP14" s="145"/>
      <c r="ACQ14" s="145"/>
      <c r="ACR14" s="145"/>
      <c r="ACS14" s="145"/>
      <c r="ACT14" s="145"/>
      <c r="ACU14" s="145"/>
      <c r="ACV14" s="145"/>
      <c r="ACW14" s="145"/>
      <c r="ACX14" s="145"/>
      <c r="ACY14" s="145"/>
      <c r="ACZ14" s="145"/>
      <c r="ADA14" s="145"/>
      <c r="ADB14" s="145"/>
      <c r="ADC14" s="145"/>
      <c r="ADD14" s="145"/>
      <c r="ADE14" s="145"/>
      <c r="ADF14" s="145"/>
      <c r="ADG14" s="145"/>
      <c r="ADH14" s="145"/>
      <c r="ADI14" s="145"/>
      <c r="ADJ14" s="145"/>
      <c r="ADK14" s="145"/>
      <c r="ADL14" s="145"/>
      <c r="ADM14" s="145"/>
      <c r="ADN14" s="145"/>
      <c r="ADO14" s="145"/>
      <c r="ADP14" s="145"/>
      <c r="ADQ14" s="145"/>
      <c r="ADR14" s="145"/>
      <c r="ADS14" s="145"/>
      <c r="ADT14" s="145"/>
      <c r="ADU14" s="145"/>
      <c r="ADV14" s="145"/>
      <c r="ADW14" s="145"/>
      <c r="ADX14" s="145"/>
      <c r="ADY14" s="145"/>
      <c r="ADZ14" s="145"/>
      <c r="AEA14" s="145"/>
      <c r="AEB14" s="145"/>
      <c r="AEC14" s="145"/>
      <c r="AED14" s="145"/>
      <c r="AEE14" s="145"/>
      <c r="AEF14" s="145"/>
      <c r="AEG14" s="145"/>
      <c r="AEH14" s="145"/>
      <c r="AEI14" s="145"/>
      <c r="AEJ14" s="145"/>
      <c r="AEK14" s="145"/>
      <c r="AEL14" s="145"/>
      <c r="AEM14" s="145"/>
      <c r="AEN14" s="145"/>
      <c r="AEO14" s="145"/>
      <c r="AEP14" s="145"/>
      <c r="AEQ14" s="145"/>
      <c r="AER14" s="145"/>
      <c r="AES14" s="145"/>
      <c r="AET14" s="145"/>
      <c r="AEU14" s="145"/>
      <c r="AEV14" s="145"/>
      <c r="AEW14" s="145"/>
      <c r="AEX14" s="145"/>
      <c r="AEY14" s="145"/>
      <c r="AEZ14" s="145"/>
      <c r="AFA14" s="145"/>
      <c r="AFB14" s="145"/>
      <c r="AFC14" s="145"/>
      <c r="AFD14" s="145"/>
      <c r="AFE14" s="145"/>
      <c r="AFF14" s="145"/>
      <c r="AFG14" s="145"/>
      <c r="AFH14" s="145"/>
      <c r="AFI14" s="145"/>
      <c r="AFJ14" s="145"/>
      <c r="AFK14" s="145"/>
      <c r="AFL14" s="145"/>
      <c r="AFM14" s="145"/>
      <c r="AFN14" s="145"/>
      <c r="AFO14" s="145"/>
      <c r="AFP14" s="145"/>
      <c r="AFQ14" s="145"/>
      <c r="AFR14" s="145"/>
      <c r="AFS14" s="145"/>
      <c r="AFT14" s="145"/>
      <c r="AFU14" s="145"/>
      <c r="AFV14" s="145"/>
      <c r="AFW14" s="145"/>
      <c r="AFX14" s="145"/>
      <c r="AFY14" s="145"/>
      <c r="AFZ14" s="145"/>
      <c r="AGA14" s="145"/>
      <c r="AGB14" s="145"/>
      <c r="AGC14" s="145"/>
      <c r="AGD14" s="145"/>
      <c r="AGE14" s="145"/>
      <c r="AGF14" s="145"/>
      <c r="AGG14" s="145"/>
      <c r="AGH14" s="145"/>
      <c r="AGI14" s="145"/>
      <c r="AGJ14" s="145"/>
      <c r="AGK14" s="145"/>
      <c r="AGL14" s="145"/>
      <c r="AGM14" s="145"/>
      <c r="AGN14" s="145"/>
      <c r="AGO14" s="145"/>
      <c r="AGP14" s="145"/>
      <c r="AGQ14" s="145"/>
      <c r="AGR14" s="145"/>
      <c r="AGS14" s="145"/>
      <c r="AGT14" s="145"/>
      <c r="AGU14" s="145"/>
      <c r="AGV14" s="145"/>
      <c r="AGW14" s="145"/>
      <c r="AGX14" s="145"/>
      <c r="AGY14" s="145"/>
      <c r="AGZ14" s="145"/>
      <c r="AHA14" s="145"/>
      <c r="AHB14" s="145"/>
      <c r="AHC14" s="145"/>
      <c r="AHD14" s="145"/>
      <c r="AHE14" s="145"/>
      <c r="AHF14" s="145"/>
      <c r="AHG14" s="145"/>
      <c r="AHH14" s="145"/>
      <c r="AHI14" s="145"/>
      <c r="AHJ14" s="145"/>
      <c r="AHK14" s="145"/>
      <c r="AHL14" s="145"/>
      <c r="AHM14" s="145"/>
      <c r="AHN14" s="145"/>
      <c r="AHO14" s="145"/>
      <c r="AHP14" s="145"/>
      <c r="AHQ14" s="145"/>
      <c r="AHR14" s="145"/>
      <c r="AHS14" s="145"/>
      <c r="AHT14" s="145"/>
      <c r="AHU14" s="145"/>
      <c r="AHV14" s="145"/>
      <c r="AHW14" s="145"/>
      <c r="AHX14" s="145"/>
      <c r="AHY14" s="145"/>
      <c r="AHZ14" s="145"/>
      <c r="AIA14" s="145"/>
      <c r="AIB14" s="145"/>
      <c r="AIC14" s="145"/>
      <c r="AID14" s="145"/>
      <c r="AIE14" s="145"/>
      <c r="AIF14" s="145"/>
      <c r="AIG14" s="145"/>
      <c r="AIH14" s="145"/>
      <c r="AII14" s="145"/>
      <c r="AIJ14" s="145"/>
      <c r="AIK14" s="145"/>
      <c r="AIL14" s="145"/>
      <c r="AIM14" s="145"/>
      <c r="AIN14" s="145"/>
      <c r="AIO14" s="145"/>
      <c r="AIP14" s="145"/>
      <c r="AIQ14" s="145"/>
      <c r="AIR14" s="145"/>
      <c r="AIS14" s="145"/>
      <c r="AIT14" s="145"/>
      <c r="AIU14" s="145"/>
      <c r="AIV14" s="145"/>
      <c r="AIW14" s="145"/>
      <c r="AIX14" s="145"/>
      <c r="AIY14" s="145"/>
      <c r="AIZ14" s="145"/>
      <c r="AJA14" s="145"/>
      <c r="AJB14" s="145"/>
      <c r="AJC14" s="145"/>
      <c r="AJD14" s="145"/>
      <c r="AJE14" s="145"/>
      <c r="AJF14" s="145"/>
      <c r="AJG14" s="145"/>
      <c r="AJH14" s="145"/>
      <c r="AJI14" s="145"/>
      <c r="AJJ14" s="145"/>
      <c r="AJK14" s="145"/>
      <c r="AJL14" s="145"/>
      <c r="AJM14" s="145"/>
      <c r="AJN14" s="145"/>
      <c r="AJO14" s="145"/>
      <c r="AJP14" s="145"/>
      <c r="AJQ14" s="145"/>
      <c r="AJR14" s="145"/>
      <c r="AJS14" s="145"/>
      <c r="AJT14" s="145"/>
      <c r="AJU14" s="145"/>
      <c r="AJV14" s="145"/>
      <c r="AJW14" s="145"/>
      <c r="AJX14" s="145"/>
      <c r="AJY14" s="145"/>
      <c r="AJZ14" s="145"/>
      <c r="AKA14" s="145"/>
      <c r="AKB14" s="145"/>
      <c r="AKC14" s="145"/>
      <c r="AKD14" s="145"/>
      <c r="AKE14" s="145"/>
      <c r="AKF14" s="145"/>
      <c r="AKG14" s="145"/>
      <c r="AKH14" s="145"/>
      <c r="AKI14" s="145"/>
      <c r="AKJ14" s="145"/>
      <c r="AKK14" s="145"/>
      <c r="AKL14" s="145"/>
      <c r="AKM14" s="145"/>
      <c r="AKN14" s="145"/>
      <c r="AKO14" s="145"/>
      <c r="AKP14" s="145"/>
      <c r="AKQ14" s="145"/>
      <c r="AKR14" s="145"/>
      <c r="AKS14" s="145"/>
      <c r="AKT14" s="145"/>
      <c r="AKU14" s="145"/>
      <c r="AKV14" s="145"/>
      <c r="AKW14" s="145"/>
      <c r="AKX14" s="145"/>
      <c r="AKY14" s="145"/>
      <c r="AKZ14" s="145"/>
      <c r="ALA14" s="145"/>
      <c r="ALB14" s="145"/>
      <c r="ALC14" s="145"/>
      <c r="ALD14" s="145"/>
      <c r="ALE14" s="145"/>
      <c r="ALF14" s="145"/>
      <c r="ALG14" s="145"/>
      <c r="ALH14" s="145"/>
      <c r="ALI14" s="145"/>
      <c r="ALJ14" s="145"/>
      <c r="ALK14" s="145"/>
      <c r="ALL14" s="145"/>
      <c r="ALM14" s="145"/>
      <c r="ALN14" s="145"/>
      <c r="ALO14" s="145"/>
      <c r="ALP14" s="145"/>
      <c r="ALQ14" s="145"/>
      <c r="ALR14" s="145"/>
      <c r="ALS14" s="145"/>
      <c r="ALT14" s="145"/>
      <c r="ALU14" s="145"/>
      <c r="ALV14" s="145"/>
      <c r="ALW14" s="145"/>
      <c r="ALX14" s="145"/>
    </row>
    <row r="15" customFormat="false" ht="15" hidden="false" customHeight="true" outlineLevel="0" collapsed="false">
      <c r="B15" s="65" t="s">
        <v>138</v>
      </c>
      <c r="C15" s="66" t="n">
        <f aca="false">VLOOKUP($B15,Unidades!$D$5:$N$24,6,FALSE())</f>
        <v>873</v>
      </c>
      <c r="D15" s="66" t="n">
        <f aca="false">VLOOKUP($B15,Unidades!$D$5:$N$24,7,FALSE())</f>
        <v>0</v>
      </c>
      <c r="E15" s="66" t="n">
        <f aca="false">VLOOKUP($B15,Unidades!$D$5:$N$24,8,FALSE())</f>
        <v>873</v>
      </c>
      <c r="F15" s="66" t="n">
        <f aca="false">VLOOKUP($B15,Unidades!$D$5:$N$24,9,FALSE())</f>
        <v>0</v>
      </c>
      <c r="G15" s="66" t="n">
        <f aca="false">D15+$E$6*E15+$F$6*F15</f>
        <v>305.55</v>
      </c>
      <c r="H15" s="67" t="n">
        <f aca="false">IF(G15&lt;750,1.5,IF(G15&lt;2000,2,IF(G15&lt;4000,3,12)))</f>
        <v>1.5</v>
      </c>
      <c r="I15" s="67" t="n">
        <f aca="false">$I$6*H15</f>
        <v>1.8</v>
      </c>
      <c r="J15" s="67" t="str">
        <f aca="false">VLOOKUP($B15,Unidades!$D$5:$N$24,10,FALSE())</f>
        <v>SIM</v>
      </c>
      <c r="K15" s="67" t="str">
        <f aca="false">VLOOKUP($B15,Unidades!$D$5:$N$24,11,FALSE())</f>
        <v>SIM</v>
      </c>
      <c r="L15" s="67" t="n">
        <f aca="false">$L$6*H15+(IF(J15="SIM",$J$6,0))</f>
        <v>3.65</v>
      </c>
      <c r="M15" s="67" t="n">
        <f aca="false">$M$6*H15+(IF(J15="SIM",$J$6,0))+(IF(K15="SIM",$K$6,0))</f>
        <v>7.65</v>
      </c>
      <c r="N15" s="67" t="n">
        <f aca="false">H15*12+I15*4+L15*2+M15</f>
        <v>40.15</v>
      </c>
      <c r="O15" s="68" t="n">
        <f aca="false">IF(K15="não", N15*(C$19+D$19),N15*(C$19+D$19)+(M15*+E$19))</f>
        <v>2757.01456</v>
      </c>
      <c r="P15" s="69"/>
      <c r="Q15" s="23" t="str">
        <f aca="false">B15</f>
        <v>DEPÓSITO JOINVILLE - GUANABARA</v>
      </c>
      <c r="R15" s="25" t="n">
        <f aca="false">H15*($C$19+$D$19)</f>
        <v>90.0006</v>
      </c>
      <c r="S15" s="25" t="n">
        <f aca="false">I15*($C$19+$D$19)</f>
        <v>108.00072</v>
      </c>
      <c r="T15" s="25" t="n">
        <f aca="false">L15*($C$19+$D$19)</f>
        <v>219.00146</v>
      </c>
      <c r="U15" s="25" t="n">
        <f aca="false">IF(K15="não",M15*($C$19+$D$19),M15*(C$19+D$19+E$19))</f>
        <v>807.00156</v>
      </c>
      <c r="V15" s="25" t="n">
        <f aca="false">VLOOKUP(Q15,'Desl. Base Joinville'!$C$5:$S$13,13,FALSE())*($C$19+$D$19+$E$19*(VLOOKUP(Q15,'Desl. Base Joinville'!$C$5:$S$13,17,FALSE())/12))</f>
        <v>6.37912333333333</v>
      </c>
      <c r="W15" s="25" t="n">
        <f aca="false">VLOOKUP(Q15,'Desl. Base Joinville'!$C$5:$S$13,15,FALSE())*(2+(VLOOKUP(Q15,'Desl. Base Joinville'!$C$5:$S$13,17,FALSE())/12))</f>
        <v>0</v>
      </c>
      <c r="X15" s="25" t="n">
        <f aca="false">VLOOKUP(Q15,'Desl. Base Joinville'!$C$5:$Q$13,14,FALSE())</f>
        <v>0</v>
      </c>
      <c r="Y15" s="25" t="n">
        <f aca="false">VLOOKUP(Q15,'Desl. Base Joinville'!$C$5:Q$13,13,FALSE())*'Desl. Base Joinville'!$E$18+'Desl. Base Joinville'!$E$19*N15/12</f>
        <v>27.3916666666667</v>
      </c>
      <c r="Z15" s="25" t="n">
        <f aca="false">(H15/$AC$5)*'Equipe Técnica'!$C$13</f>
        <v>403.112166482315</v>
      </c>
      <c r="AA15" s="25" t="n">
        <f aca="false">(I15/$AC$5)*'Equipe Técnica'!$C$13</f>
        <v>483.734599778778</v>
      </c>
      <c r="AB15" s="25" t="n">
        <f aca="false">(L15/$AC$5)*'Equipe Técnica'!$C$13</f>
        <v>980.906271773634</v>
      </c>
      <c r="AC15" s="25" t="n">
        <f aca="false">(M15/$AC$5)*'Equipe Técnica'!$C$13</f>
        <v>2055.87204905981</v>
      </c>
      <c r="AD15" s="25" t="n">
        <f aca="false">R15+(($V15+$W15+$X15+$Y15)*12/19)+$Z15</f>
        <v>514.441686482315</v>
      </c>
      <c r="AE15" s="25" t="n">
        <f aca="false">S15+(($V15+$W15+$X15+$Y15)*12/19)+$AA15</f>
        <v>613.064239778778</v>
      </c>
      <c r="AF15" s="25" t="n">
        <f aca="false">T15+(($V15+$W15+$X15+$Y15)*12/19)+$AB15</f>
        <v>1221.23665177363</v>
      </c>
      <c r="AG15" s="25" t="n">
        <f aca="false">U15+(($V15+$W15+$X15+$Y15)*12/19)+$AC15</f>
        <v>2884.20252905981</v>
      </c>
      <c r="AH15" s="144"/>
      <c r="AI15" s="23" t="str">
        <f aca="false">B15</f>
        <v>DEPÓSITO JOINVILLE - GUANABARA</v>
      </c>
      <c r="AJ15" s="70" t="n">
        <f aca="false">VLOOKUP(AI15,Unidades!D$5:H$24,5,)</f>
        <v>0.2223</v>
      </c>
      <c r="AK15" s="49" t="n">
        <f aca="false">AD15*(1+$AJ15)</f>
        <v>628.802073387334</v>
      </c>
      <c r="AL15" s="49" t="n">
        <f aca="false">AE15*(1+$AJ15)</f>
        <v>749.3484202816</v>
      </c>
      <c r="AM15" s="49" t="n">
        <f aca="false">AF15*(1+$AJ15)</f>
        <v>1492.71755946291</v>
      </c>
      <c r="AN15" s="49" t="n">
        <f aca="false">AG15*(1+$AJ15)</f>
        <v>3525.3607512698</v>
      </c>
      <c r="AO15" s="49" t="n">
        <f aca="false">((AK15*12)+(AL15*4)+(AM15*2)+AN15)/12</f>
        <v>1421.15120266417</v>
      </c>
      <c r="AP15" s="49" t="n">
        <f aca="false">AO15*$AP$6</f>
        <v>3746.67135247827</v>
      </c>
      <c r="AQ15" s="49" t="n">
        <f aca="false">AO15+AP15</f>
        <v>5167.82255514244</v>
      </c>
      <c r="AR15" s="71"/>
      <c r="AS15" s="74" t="s">
        <v>94</v>
      </c>
      <c r="AT15" s="49" t="n">
        <f aca="false">AT11+AT13</f>
        <v>682012.69797621</v>
      </c>
      <c r="AU15" s="49"/>
      <c r="AV15" s="71"/>
      <c r="AW15" s="71"/>
    </row>
    <row r="16" customFormat="false" ht="19.5" hidden="false" customHeight="true" outlineLevel="0" collapsed="false">
      <c r="A16" s="145"/>
      <c r="B16" s="9"/>
      <c r="C16" s="75" t="n">
        <f aca="false">SUM(C7:C15)</f>
        <v>10788.9</v>
      </c>
      <c r="D16" s="75" t="n">
        <f aca="false">SUM(D7:D15)</f>
        <v>6004.78</v>
      </c>
      <c r="E16" s="75" t="n">
        <f aca="false">SUM(E7:E15)</f>
        <v>3921.12</v>
      </c>
      <c r="F16" s="75" t="n">
        <f aca="false">SUM(F7:F15)</f>
        <v>863</v>
      </c>
      <c r="G16" s="75" t="n">
        <f aca="false">SUM(G7:G15)</f>
        <v>7463.472</v>
      </c>
      <c r="H16" s="76" t="n">
        <f aca="false">SUM(H7:H15)</f>
        <v>16.5</v>
      </c>
      <c r="I16" s="76" t="n">
        <f aca="false">SUM(I7:I15)</f>
        <v>19.8</v>
      </c>
      <c r="J16" s="76" t="n">
        <f aca="false">COUNTIF(J7:J15,"SIM")</f>
        <v>3</v>
      </c>
      <c r="K16" s="76" t="n">
        <f aca="false">COUNTIF(K7:K15,"SIM")</f>
        <v>5</v>
      </c>
      <c r="L16" s="76" t="n">
        <f aca="false">SUM(L7:L15)</f>
        <v>24.15</v>
      </c>
      <c r="M16" s="76" t="n">
        <f aca="false">SUM(M7:M15)</f>
        <v>44.15</v>
      </c>
      <c r="N16" s="76" t="n">
        <f aca="false">SUM(N7:N15)</f>
        <v>369.65</v>
      </c>
      <c r="O16" s="77" t="n">
        <f aca="false">SUM(O7:O15)</f>
        <v>23862.27786</v>
      </c>
      <c r="P16" s="146"/>
      <c r="Q16" s="147" t="s">
        <v>97</v>
      </c>
      <c r="R16" s="79" t="n">
        <f aca="false">SUM(R7:R15)</f>
        <v>990.0066</v>
      </c>
      <c r="S16" s="79" t="n">
        <f aca="false">SUM(S7:S15)</f>
        <v>1188.00792</v>
      </c>
      <c r="T16" s="79" t="n">
        <f aca="false">SUM(T7:T15)</f>
        <v>1449.00966</v>
      </c>
      <c r="U16" s="79" t="n">
        <f aca="false">SUM(U7:U15)</f>
        <v>4332.14766</v>
      </c>
      <c r="V16" s="79" t="n">
        <f aca="false">SUM(V7:V15)</f>
        <v>907.774777222222</v>
      </c>
      <c r="W16" s="79" t="n">
        <f aca="false">SUM(W7:W15)</f>
        <v>580.833333333333</v>
      </c>
      <c r="X16" s="79" t="n">
        <f aca="false">SUM(X7:X15)</f>
        <v>0</v>
      </c>
      <c r="Y16" s="79" t="n">
        <f aca="false">SUM(Y7:Y15)</f>
        <v>997.6605</v>
      </c>
      <c r="Z16" s="79" t="n">
        <f aca="false">SUM(Z7:Z15)</f>
        <v>4434.23383130547</v>
      </c>
      <c r="AA16" s="79" t="n">
        <f aca="false">SUM(AA7:AA15)</f>
        <v>5321.08059756656</v>
      </c>
      <c r="AB16" s="79" t="n">
        <f aca="false">SUM(AB7:AB15)</f>
        <v>6490.10588036527</v>
      </c>
      <c r="AC16" s="79" t="n">
        <f aca="false">SUM(AC7:AC15)</f>
        <v>11864.9347667961</v>
      </c>
      <c r="AD16" s="79" t="n">
        <f aca="false">SUM(AD7:AD15)</f>
        <v>6994.51534323529</v>
      </c>
      <c r="AE16" s="79" t="n">
        <f aca="false">SUM(AE7:AE15)</f>
        <v>8079.36342949638</v>
      </c>
      <c r="AF16" s="79" t="n">
        <f aca="false">SUM(AF7:AF15)</f>
        <v>9509.3904522951</v>
      </c>
      <c r="AG16" s="79" t="n">
        <f aca="false">SUM(AG7:AG15)</f>
        <v>17767.357338726</v>
      </c>
      <c r="AH16" s="40"/>
      <c r="AI16" s="76" t="s">
        <v>97</v>
      </c>
      <c r="AJ16" s="76"/>
      <c r="AK16" s="80" t="n">
        <f aca="false">SUM(AK7:AK15)</f>
        <v>8572.07433710999</v>
      </c>
      <c r="AL16" s="80" t="n">
        <f aca="false">SUM(AL7:AL15)</f>
        <v>9901.09871565935</v>
      </c>
      <c r="AM16" s="80" t="n">
        <f aca="false">SUM(AM7:AM15)</f>
        <v>11656.1265005912</v>
      </c>
      <c r="AN16" s="80" t="n">
        <f aca="false">SUM(AN7:AN15)</f>
        <v>21771.9520343181</v>
      </c>
      <c r="AO16" s="80" t="n">
        <f aca="false">SUM(AO7:AO15)</f>
        <v>15629.4576619548</v>
      </c>
      <c r="AP16" s="80" t="n">
        <f aca="false">SUM(AP7:AP15)</f>
        <v>41204.9338360627</v>
      </c>
      <c r="AQ16" s="80" t="n">
        <f aca="false">SUM(AQ7:AQ15)</f>
        <v>56834.3914980175</v>
      </c>
      <c r="AR16" s="71"/>
      <c r="AS16" s="71"/>
      <c r="AT16" s="71"/>
      <c r="AU16" s="71"/>
      <c r="AV16" s="71"/>
      <c r="AW16" s="71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  <c r="FJ16" s="145"/>
      <c r="FK16" s="145"/>
      <c r="FL16" s="145"/>
      <c r="FM16" s="145"/>
      <c r="FN16" s="145"/>
      <c r="FO16" s="145"/>
      <c r="FP16" s="145"/>
      <c r="FQ16" s="145"/>
      <c r="FR16" s="145"/>
      <c r="FS16" s="145"/>
      <c r="FT16" s="145"/>
      <c r="FU16" s="145"/>
      <c r="FV16" s="145"/>
      <c r="FW16" s="145"/>
      <c r="FX16" s="145"/>
      <c r="FY16" s="145"/>
      <c r="FZ16" s="145"/>
      <c r="GA16" s="145"/>
      <c r="GB16" s="145"/>
      <c r="GC16" s="145"/>
      <c r="GD16" s="145"/>
      <c r="GE16" s="145"/>
      <c r="GF16" s="145"/>
      <c r="GG16" s="145"/>
      <c r="GH16" s="145"/>
      <c r="GI16" s="145"/>
      <c r="GJ16" s="145"/>
      <c r="GK16" s="145"/>
      <c r="GL16" s="145"/>
      <c r="GM16" s="145"/>
      <c r="GN16" s="145"/>
      <c r="GO16" s="145"/>
      <c r="GP16" s="145"/>
      <c r="GQ16" s="145"/>
      <c r="GR16" s="145"/>
      <c r="GS16" s="145"/>
      <c r="GT16" s="145"/>
      <c r="GU16" s="145"/>
      <c r="GV16" s="145"/>
      <c r="GW16" s="145"/>
      <c r="GX16" s="145"/>
      <c r="GY16" s="145"/>
      <c r="GZ16" s="145"/>
      <c r="HA16" s="145"/>
      <c r="HB16" s="145"/>
      <c r="HC16" s="145"/>
      <c r="HD16" s="145"/>
      <c r="HE16" s="145"/>
      <c r="HF16" s="145"/>
      <c r="HG16" s="145"/>
      <c r="HH16" s="145"/>
      <c r="HI16" s="145"/>
      <c r="HJ16" s="145"/>
      <c r="HK16" s="145"/>
      <c r="HL16" s="145"/>
      <c r="HM16" s="145"/>
      <c r="HN16" s="145"/>
      <c r="HO16" s="145"/>
      <c r="HP16" s="145"/>
      <c r="HQ16" s="145"/>
      <c r="HR16" s="145"/>
      <c r="HS16" s="145"/>
      <c r="HT16" s="145"/>
      <c r="HU16" s="145"/>
      <c r="HV16" s="145"/>
      <c r="HW16" s="145"/>
      <c r="HX16" s="145"/>
      <c r="HY16" s="145"/>
      <c r="HZ16" s="145"/>
      <c r="IA16" s="145"/>
      <c r="IB16" s="145"/>
      <c r="IC16" s="145"/>
      <c r="ID16" s="145"/>
      <c r="IE16" s="145"/>
      <c r="IF16" s="145"/>
      <c r="IG16" s="145"/>
      <c r="IH16" s="145"/>
      <c r="II16" s="145"/>
      <c r="IJ16" s="145"/>
      <c r="IK16" s="145"/>
      <c r="IL16" s="145"/>
      <c r="IM16" s="145"/>
      <c r="IN16" s="145"/>
      <c r="IO16" s="145"/>
      <c r="IP16" s="145"/>
      <c r="IQ16" s="145"/>
      <c r="IR16" s="145"/>
      <c r="IS16" s="145"/>
      <c r="IT16" s="145"/>
      <c r="IU16" s="145"/>
      <c r="IV16" s="145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1"/>
      <c r="I17" s="2"/>
      <c r="J17" s="2"/>
      <c r="O17" s="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D17" s="57"/>
      <c r="AE17" s="57"/>
      <c r="AF17" s="57"/>
      <c r="AG17" s="57"/>
      <c r="AH17" s="57"/>
      <c r="AS17" s="148"/>
      <c r="AT17" s="148"/>
      <c r="AU17" s="148"/>
      <c r="AV17" s="148"/>
      <c r="AW17" s="148"/>
    </row>
    <row r="18" customFormat="false" ht="39.75" hidden="false" customHeight="true" outlineLevel="0" collapsed="false">
      <c r="B18" s="48" t="s">
        <v>30</v>
      </c>
      <c r="C18" s="83" t="str">
        <f aca="false">'Base Blumenau'!C20</f>
        <v>Oficial de Manutenção Predial</v>
      </c>
      <c r="D18" s="83" t="str">
        <f aca="false">'Base Blumenau'!D20</f>
        <v>Ajudante (ref. SINAPI/88241)</v>
      </c>
      <c r="E18" s="149" t="str">
        <f aca="false">'Base Blumenau'!E20</f>
        <v>Eletrotécnico (ref. SINAPI/88266)</v>
      </c>
      <c r="N18" s="150"/>
      <c r="O18" s="151"/>
      <c r="R18" s="84"/>
      <c r="V18" s="151"/>
      <c r="Z18" s="84"/>
      <c r="AA18" s="84"/>
      <c r="AB18" s="84"/>
      <c r="AC18" s="84"/>
      <c r="AD18" s="84"/>
      <c r="AE18" s="84"/>
      <c r="AF18" s="84"/>
    </row>
    <row r="19" customFormat="false" ht="18" hidden="false" customHeight="true" outlineLevel="0" collapsed="false">
      <c r="B19" s="48"/>
      <c r="C19" s="25" t="n">
        <f aca="false">'Base Blumenau'!C21</f>
        <v>34.2904</v>
      </c>
      <c r="D19" s="25" t="n">
        <f aca="false">'Base Blumenau'!D21</f>
        <v>25.71</v>
      </c>
      <c r="E19" s="25" t="n">
        <f aca="false">'Base Blumenau'!E21</f>
        <v>45.49</v>
      </c>
      <c r="N19" s="150"/>
      <c r="O19" s="151"/>
    </row>
    <row r="20" customFormat="false" ht="40.5" hidden="false" customHeight="true" outlineLevel="0" collapsed="false">
      <c r="B20" s="52" t="str">
        <f aca="false">'Base Blumenau'!B22</f>
        <v>* Tabela SINAPI Janeiro/2025 (Não Desonerado)</v>
      </c>
      <c r="N20" s="151"/>
      <c r="O20" s="151"/>
    </row>
    <row r="21" customFormat="false" ht="14.25" hidden="false" customHeight="false" outlineLevel="0" collapsed="false">
      <c r="N21" s="151"/>
      <c r="O21" s="151"/>
    </row>
    <row r="22" customFormat="false" ht="14.25" hidden="false" customHeight="false" outlineLevel="0" collapsed="false">
      <c r="N22" s="151"/>
      <c r="O22" s="151"/>
    </row>
    <row r="23" customFormat="false" ht="15.75" hidden="false" customHeight="true" outlineLevel="0" collapsed="false">
      <c r="N23" s="151"/>
      <c r="O23" s="151"/>
    </row>
    <row r="24" customFormat="false" ht="14.25" hidden="false" customHeight="false" outlineLevel="0" collapsed="false">
      <c r="N24" s="151"/>
      <c r="O24" s="151"/>
    </row>
    <row r="25" customFormat="false" ht="14.25" hidden="false" customHeight="false" outlineLevel="0" collapsed="false">
      <c r="N25" s="151"/>
      <c r="O25" s="151"/>
    </row>
    <row r="26" customFormat="false" ht="14.25" hidden="false" customHeight="false" outlineLevel="0" collapsed="false">
      <c r="N26" s="151"/>
      <c r="O26" s="151"/>
    </row>
    <row r="27" customFormat="false" ht="14.25" hidden="false" customHeight="false" outlineLevel="0" collapsed="false">
      <c r="N27" s="151"/>
      <c r="O27" s="151"/>
    </row>
    <row r="28" customFormat="false" ht="14.25" hidden="false" customHeight="false" outlineLevel="0" collapsed="false">
      <c r="N28" s="151"/>
      <c r="O28" s="151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57"/>
  <sheetViews>
    <sheetView showFormulas="false" showGridLines="fals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B35" activeCellId="0" sqref="B3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6" min="4" style="86" width="9.62"/>
    <col collapsed="false" customWidth="true" hidden="false" outlineLevel="0" max="17" min="17" style="86" width="10.26"/>
    <col collapsed="false" customWidth="true" hidden="false" outlineLevel="0" max="18" min="18" style="86" width="12.25"/>
    <col collapsed="false" customWidth="true" hidden="false" outlineLevel="0" max="19" min="19" style="86" width="14.75"/>
    <col collapsed="false" customWidth="true" hidden="false" outlineLevel="0" max="66" min="20" style="86" width="10.75"/>
    <col collapsed="false" customWidth="true" hidden="false" outlineLevel="0" max="257" min="67" style="85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"&amp;Resumo!B6</f>
        <v>DESLOCAMENTO BASE JOINVILLE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customFormat="false" ht="38.25" hidden="false" customHeight="false" outlineLevel="0" collapsed="false">
      <c r="B4" s="22" t="s">
        <v>101</v>
      </c>
      <c r="C4" s="22" t="str">
        <f aca="false">"Rota (saída e retorno "&amp;Resumo!B6&amp;")"</f>
        <v>Rota (saída e retorno JOINVILLE)</v>
      </c>
      <c r="D4" s="22" t="s">
        <v>102</v>
      </c>
      <c r="E4" s="22" t="s">
        <v>103</v>
      </c>
      <c r="F4" s="22" t="s">
        <v>104</v>
      </c>
      <c r="G4" s="22" t="s">
        <v>105</v>
      </c>
      <c r="H4" s="22" t="s">
        <v>106</v>
      </c>
      <c r="I4" s="22" t="s">
        <v>107</v>
      </c>
      <c r="J4" s="22" t="s">
        <v>108</v>
      </c>
      <c r="K4" s="22" t="s">
        <v>109</v>
      </c>
      <c r="L4" s="22" t="s">
        <v>110</v>
      </c>
      <c r="M4" s="88" t="s">
        <v>139</v>
      </c>
      <c r="N4" s="22" t="s">
        <v>112</v>
      </c>
      <c r="O4" s="22" t="s">
        <v>113</v>
      </c>
      <c r="P4" s="22" t="s">
        <v>114</v>
      </c>
      <c r="Q4" s="22" t="s">
        <v>67</v>
      </c>
      <c r="R4" s="33" t="s">
        <v>115</v>
      </c>
      <c r="S4" s="33" t="s">
        <v>116</v>
      </c>
    </row>
    <row r="5" customFormat="false" ht="15.75" hidden="false" customHeight="true" outlineLevel="0" collapsed="false">
      <c r="B5" s="51" t="n">
        <v>1</v>
      </c>
      <c r="C5" s="152" t="s">
        <v>137</v>
      </c>
      <c r="D5" s="153" t="n">
        <v>3.1</v>
      </c>
      <c r="E5" s="153" t="n">
        <v>3.1</v>
      </c>
      <c r="F5" s="153" t="n">
        <v>0</v>
      </c>
      <c r="G5" s="94" t="n">
        <f aca="false">SUM(D5:F5)</f>
        <v>6.2</v>
      </c>
      <c r="H5" s="153" t="n">
        <v>6</v>
      </c>
      <c r="I5" s="153" t="n">
        <v>6</v>
      </c>
      <c r="J5" s="153" t="n">
        <v>0</v>
      </c>
      <c r="K5" s="94" t="n">
        <f aca="false">SUM(H5:J5)</f>
        <v>12</v>
      </c>
      <c r="L5" s="94" t="n">
        <f aca="false">K5/60</f>
        <v>0.2</v>
      </c>
      <c r="M5" s="100" t="n">
        <v>0</v>
      </c>
      <c r="N5" s="93" t="n">
        <v>2</v>
      </c>
      <c r="O5" s="113" t="n">
        <f aca="false">L5/N5</f>
        <v>0.1</v>
      </c>
      <c r="P5" s="99" t="n">
        <f aca="false">M5/N5</f>
        <v>0</v>
      </c>
      <c r="Q5" s="99" t="n">
        <v>0</v>
      </c>
      <c r="R5" s="100" t="str">
        <f aca="false">INDEX('Base Joinville'!$K$7:$K$25,MATCH(C5,'Base Joinville'!$B$7:$B$25,0))</f>
        <v>SIM</v>
      </c>
      <c r="S5" s="101" t="n">
        <v>1</v>
      </c>
    </row>
    <row r="6" customFormat="false" ht="15.75" hidden="false" customHeight="true" outlineLevel="0" collapsed="false">
      <c r="B6" s="51"/>
      <c r="C6" s="152" t="s">
        <v>138</v>
      </c>
      <c r="D6" s="153"/>
      <c r="E6" s="153"/>
      <c r="F6" s="153"/>
      <c r="G6" s="94"/>
      <c r="H6" s="153"/>
      <c r="I6" s="153"/>
      <c r="J6" s="153"/>
      <c r="K6" s="94"/>
      <c r="L6" s="94"/>
      <c r="M6" s="100"/>
      <c r="N6" s="93"/>
      <c r="O6" s="154" t="n">
        <f aca="false">O5</f>
        <v>0.1</v>
      </c>
      <c r="P6" s="109" t="n">
        <f aca="false">P5</f>
        <v>0</v>
      </c>
      <c r="Q6" s="109" t="n">
        <f aca="false">Q5</f>
        <v>0</v>
      </c>
      <c r="R6" s="100" t="str">
        <f aca="false">INDEX('Base Joinville'!$K$7:$K$25,MATCH(C6,'Base Joinville'!$B$7:$B$25,0))</f>
        <v>SIM</v>
      </c>
      <c r="S6" s="101" t="n">
        <v>1</v>
      </c>
    </row>
    <row r="7" customFormat="false" ht="15.75" hidden="false" customHeight="true" outlineLevel="0" collapsed="false">
      <c r="B7" s="51" t="n">
        <v>2</v>
      </c>
      <c r="C7" s="152" t="s">
        <v>133</v>
      </c>
      <c r="D7" s="153" t="n">
        <v>136</v>
      </c>
      <c r="E7" s="153" t="n">
        <v>2.3</v>
      </c>
      <c r="F7" s="153" t="n">
        <v>140</v>
      </c>
      <c r="G7" s="94" t="n">
        <f aca="false">SUM(D7:F7)</f>
        <v>278.3</v>
      </c>
      <c r="H7" s="153" t="n">
        <v>132</v>
      </c>
      <c r="I7" s="153" t="n">
        <v>5</v>
      </c>
      <c r="J7" s="153" t="n">
        <v>139</v>
      </c>
      <c r="K7" s="94" t="n">
        <f aca="false">SUM(H7:J7)</f>
        <v>276</v>
      </c>
      <c r="L7" s="94" t="n">
        <f aca="false">K7/60</f>
        <v>4.6</v>
      </c>
      <c r="M7" s="100" t="n">
        <v>0</v>
      </c>
      <c r="N7" s="93" t="n">
        <v>2</v>
      </c>
      <c r="O7" s="113" t="n">
        <f aca="false">L7/N7</f>
        <v>2.3</v>
      </c>
      <c r="P7" s="99" t="n">
        <f aca="false">M7/N7</f>
        <v>0</v>
      </c>
      <c r="Q7" s="99" t="n">
        <v>0</v>
      </c>
      <c r="R7" s="100" t="str">
        <f aca="false">INDEX('Base Joinville'!$K$7:$K$25,MATCH(C7,'Base Joinville'!$B$7:$B$25,0))</f>
        <v>NÃO</v>
      </c>
      <c r="S7" s="101" t="n">
        <v>0</v>
      </c>
    </row>
    <row r="8" customFormat="false" ht="15.75" hidden="false" customHeight="true" outlineLevel="0" collapsed="false">
      <c r="B8" s="51"/>
      <c r="C8" s="152" t="s">
        <v>134</v>
      </c>
      <c r="D8" s="153"/>
      <c r="E8" s="153"/>
      <c r="F8" s="153"/>
      <c r="G8" s="94"/>
      <c r="H8" s="153"/>
      <c r="I8" s="153"/>
      <c r="J8" s="153"/>
      <c r="K8" s="94"/>
      <c r="L8" s="94"/>
      <c r="M8" s="100"/>
      <c r="N8" s="93"/>
      <c r="O8" s="154" t="n">
        <f aca="false">O7</f>
        <v>2.3</v>
      </c>
      <c r="P8" s="109" t="n">
        <f aca="false">P7</f>
        <v>0</v>
      </c>
      <c r="Q8" s="109" t="n">
        <f aca="false">Q7</f>
        <v>0</v>
      </c>
      <c r="R8" s="100" t="str">
        <f aca="false">INDEX('Base Joinville'!$K$7:$K$25,MATCH(C8,'Base Joinville'!$B$7:$B$25,0))</f>
        <v>NÃO</v>
      </c>
      <c r="S8" s="101" t="n">
        <v>0</v>
      </c>
    </row>
    <row r="9" customFormat="false" ht="15.75" hidden="false" customHeight="true" outlineLevel="0" collapsed="false">
      <c r="B9" s="51" t="n">
        <v>3</v>
      </c>
      <c r="C9" s="152" t="s">
        <v>131</v>
      </c>
      <c r="D9" s="153" t="n">
        <v>39.1</v>
      </c>
      <c r="E9" s="153" t="n">
        <v>9.9</v>
      </c>
      <c r="F9" s="153" t="n">
        <v>50.7</v>
      </c>
      <c r="G9" s="94" t="n">
        <f aca="false">SUM(D9:F9)</f>
        <v>99.7</v>
      </c>
      <c r="H9" s="153" t="n">
        <v>40</v>
      </c>
      <c r="I9" s="153" t="n">
        <v>12</v>
      </c>
      <c r="J9" s="153" t="n">
        <v>50</v>
      </c>
      <c r="K9" s="94" t="n">
        <f aca="false">SUM(H9:J9)</f>
        <v>102</v>
      </c>
      <c r="L9" s="94" t="n">
        <f aca="false">K9/60</f>
        <v>1.7</v>
      </c>
      <c r="M9" s="100" t="n">
        <v>0</v>
      </c>
      <c r="N9" s="93" t="n">
        <v>2</v>
      </c>
      <c r="O9" s="113" t="n">
        <f aca="false">L9/N9</f>
        <v>0.85</v>
      </c>
      <c r="P9" s="99" t="n">
        <f aca="false">M9/N9</f>
        <v>0</v>
      </c>
      <c r="Q9" s="99" t="n">
        <v>0</v>
      </c>
      <c r="R9" s="100" t="str">
        <f aca="false">INDEX('Base Joinville'!$K$7:$K$25,MATCH(C9,'Base Joinville'!$B$7:$B$25,0))</f>
        <v>NÃO</v>
      </c>
      <c r="S9" s="101" t="n">
        <v>1</v>
      </c>
    </row>
    <row r="10" customFormat="false" ht="15.75" hidden="false" customHeight="true" outlineLevel="0" collapsed="false">
      <c r="B10" s="51"/>
      <c r="C10" s="152" t="s">
        <v>132</v>
      </c>
      <c r="D10" s="153"/>
      <c r="E10" s="153"/>
      <c r="F10" s="153"/>
      <c r="G10" s="94"/>
      <c r="H10" s="153"/>
      <c r="I10" s="153"/>
      <c r="J10" s="153"/>
      <c r="K10" s="94"/>
      <c r="L10" s="94"/>
      <c r="M10" s="100" t="n">
        <v>0</v>
      </c>
      <c r="N10" s="93"/>
      <c r="O10" s="154" t="n">
        <f aca="false">O9</f>
        <v>0.85</v>
      </c>
      <c r="P10" s="109" t="n">
        <f aca="false">P9</f>
        <v>0</v>
      </c>
      <c r="Q10" s="109" t="n">
        <f aca="false">Q9</f>
        <v>0</v>
      </c>
      <c r="R10" s="100" t="str">
        <f aca="false">INDEX('Base Joinville'!$K$7:$K$25,MATCH(C10,'Base Joinville'!$B$7:$B$25,0))</f>
        <v>SIM</v>
      </c>
      <c r="S10" s="101" t="n">
        <v>1</v>
      </c>
    </row>
    <row r="11" customFormat="false" ht="15.75" hidden="false" customHeight="true" outlineLevel="0" collapsed="false">
      <c r="B11" s="51" t="n">
        <v>4</v>
      </c>
      <c r="C11" s="152" t="s">
        <v>130</v>
      </c>
      <c r="D11" s="153" t="n">
        <v>196</v>
      </c>
      <c r="E11" s="153" t="n">
        <v>126</v>
      </c>
      <c r="F11" s="153" t="n">
        <v>78.3</v>
      </c>
      <c r="G11" s="94" t="n">
        <f aca="false">SUM(D11:F11)</f>
        <v>400.3</v>
      </c>
      <c r="H11" s="153" t="n">
        <v>177</v>
      </c>
      <c r="I11" s="153" t="n">
        <v>117</v>
      </c>
      <c r="J11" s="153" t="n">
        <v>79</v>
      </c>
      <c r="K11" s="94" t="n">
        <f aca="false">SUM(H11:J11)</f>
        <v>373</v>
      </c>
      <c r="L11" s="94" t="n">
        <f aca="false">K11/60</f>
        <v>6.21666666666667</v>
      </c>
      <c r="M11" s="100" t="n">
        <v>0</v>
      </c>
      <c r="N11" s="93" t="n">
        <v>2</v>
      </c>
      <c r="O11" s="113" t="n">
        <f aca="false">L11/N11</f>
        <v>3.10833333333333</v>
      </c>
      <c r="P11" s="99" t="n">
        <f aca="false">M11/N11</f>
        <v>0</v>
      </c>
      <c r="Q11" s="99" t="n">
        <f aca="false">(E33/N11)*2</f>
        <v>139.4</v>
      </c>
      <c r="R11" s="100" t="str">
        <f aca="false">INDEX('Base Joinville'!$K$7:$K$25,MATCH(C11,'Base Joinville'!$B$7:$B$25,0))</f>
        <v>SIM</v>
      </c>
      <c r="S11" s="101" t="n">
        <v>1</v>
      </c>
    </row>
    <row r="12" customFormat="false" ht="15.75" hidden="false" customHeight="true" outlineLevel="0" collapsed="false">
      <c r="B12" s="51"/>
      <c r="C12" s="152" t="s">
        <v>135</v>
      </c>
      <c r="D12" s="153"/>
      <c r="E12" s="153"/>
      <c r="F12" s="153"/>
      <c r="G12" s="94"/>
      <c r="H12" s="153"/>
      <c r="I12" s="153"/>
      <c r="J12" s="153"/>
      <c r="K12" s="94"/>
      <c r="L12" s="94"/>
      <c r="M12" s="100"/>
      <c r="N12" s="93"/>
      <c r="O12" s="154" t="n">
        <f aca="false">O11</f>
        <v>3.10833333333333</v>
      </c>
      <c r="P12" s="109" t="n">
        <f aca="false">P11</f>
        <v>0</v>
      </c>
      <c r="Q12" s="109" t="n">
        <f aca="false">Q11</f>
        <v>139.4</v>
      </c>
      <c r="R12" s="100" t="str">
        <f aca="false">INDEX('Base Joinville'!$K$7:$K$25,MATCH(C12,'Base Joinville'!$B$7:$B$25,0))</f>
        <v>SIM</v>
      </c>
      <c r="S12" s="101" t="n">
        <v>1</v>
      </c>
    </row>
    <row r="13" customFormat="false" ht="15.75" hidden="false" customHeight="true" outlineLevel="0" collapsed="false">
      <c r="B13" s="51" t="n">
        <v>5</v>
      </c>
      <c r="C13" s="152" t="s">
        <v>136</v>
      </c>
      <c r="D13" s="153" t="n">
        <v>50.9</v>
      </c>
      <c r="E13" s="153" t="n">
        <v>52.7</v>
      </c>
      <c r="F13" s="153" t="n">
        <v>0</v>
      </c>
      <c r="G13" s="94" t="n">
        <f aca="false">SUM(D13:F13)</f>
        <v>103.6</v>
      </c>
      <c r="H13" s="153" t="n">
        <v>59</v>
      </c>
      <c r="I13" s="153" t="n">
        <v>55</v>
      </c>
      <c r="J13" s="153" t="n">
        <v>0</v>
      </c>
      <c r="K13" s="94" t="n">
        <f aca="false">SUM(H13:J13)</f>
        <v>114</v>
      </c>
      <c r="L13" s="94" t="n">
        <f aca="false">K13/60</f>
        <v>1.9</v>
      </c>
      <c r="M13" s="95" t="n">
        <v>0</v>
      </c>
      <c r="N13" s="155" t="n">
        <v>1</v>
      </c>
      <c r="O13" s="94" t="n">
        <f aca="false">L13/N13</f>
        <v>1.9</v>
      </c>
      <c r="P13" s="114" t="n">
        <f aca="false">M13/N13</f>
        <v>0</v>
      </c>
      <c r="Q13" s="95" t="n">
        <v>0</v>
      </c>
      <c r="R13" s="100" t="str">
        <f aca="false">INDEX('Base Joinville'!$K$7:$K$25,MATCH(C13,'Base Joinville'!$B$7:$B$25,0))</f>
        <v>NÃO</v>
      </c>
      <c r="S13" s="101" t="n">
        <v>0</v>
      </c>
    </row>
    <row r="14" customFormat="false" ht="21" hidden="false" customHeight="true" outlineLevel="0" collapsed="false">
      <c r="B14" s="118" t="s">
        <v>97</v>
      </c>
      <c r="C14" s="118"/>
      <c r="D14" s="118"/>
      <c r="E14" s="118"/>
      <c r="F14" s="118"/>
      <c r="G14" s="119" t="n">
        <f aca="false">SUM(G5:G13)</f>
        <v>888.1</v>
      </c>
      <c r="H14" s="119" t="s">
        <v>97</v>
      </c>
      <c r="I14" s="119"/>
      <c r="J14" s="119"/>
      <c r="K14" s="119" t="n">
        <f aca="false">SUM(K5:K13)</f>
        <v>877</v>
      </c>
      <c r="L14" s="119" t="n">
        <f aca="false">SUM(L5:L13)</f>
        <v>14.6166666666667</v>
      </c>
      <c r="M14" s="121" t="n">
        <f aca="false">SUM(M5:M13)</f>
        <v>0</v>
      </c>
      <c r="N14" s="156" t="n">
        <f aca="false">SUM(N5:N13)</f>
        <v>9</v>
      </c>
      <c r="O14" s="119" t="n">
        <f aca="false">SUM(O5:O13)</f>
        <v>14.6166666666667</v>
      </c>
      <c r="P14" s="157" t="n">
        <f aca="false">SUM(P5:P13)</f>
        <v>0</v>
      </c>
      <c r="Q14" s="157" t="n">
        <f aca="false">SUM(Q5:Q13)</f>
        <v>278.8</v>
      </c>
      <c r="R14" s="121"/>
      <c r="S14" s="122"/>
    </row>
    <row r="15" customFormat="false" ht="15.75" hidden="false" customHeight="true" outlineLevel="0" collapsed="false">
      <c r="B15" s="125"/>
      <c r="C15" s="125"/>
      <c r="D15" s="125"/>
      <c r="E15" s="125"/>
      <c r="F15" s="85"/>
      <c r="G15" s="85"/>
      <c r="H15" s="85"/>
      <c r="I15" s="85"/>
      <c r="J15" s="85"/>
      <c r="K15" s="85"/>
      <c r="L15" s="85"/>
      <c r="M15" s="85"/>
      <c r="N15" s="85"/>
    </row>
    <row r="16" customFormat="false" ht="18.75" hidden="false" customHeight="true" outlineLevel="0" collapsed="false">
      <c r="B16" s="126" t="s">
        <v>117</v>
      </c>
      <c r="C16" s="126"/>
      <c r="D16" s="126"/>
      <c r="E16" s="126"/>
      <c r="F16" s="125"/>
      <c r="G16" s="125"/>
      <c r="H16" s="125"/>
      <c r="I16" s="125"/>
      <c r="J16" s="125"/>
      <c r="K16" s="125"/>
      <c r="L16" s="125"/>
      <c r="M16" s="125"/>
      <c r="N16" s="125"/>
    </row>
    <row r="17" customFormat="false" ht="18.75" hidden="false" customHeight="true" outlineLevel="0" collapsed="false">
      <c r="B17" s="158" t="s">
        <v>118</v>
      </c>
      <c r="C17" s="158" t="s">
        <v>119</v>
      </c>
      <c r="D17" s="158" t="s">
        <v>120</v>
      </c>
      <c r="E17" s="158" t="s">
        <v>121</v>
      </c>
      <c r="F17" s="125"/>
      <c r="G17" s="127"/>
      <c r="H17" s="127"/>
      <c r="I17" s="125"/>
      <c r="J17" s="125"/>
      <c r="K17" s="125"/>
      <c r="L17" s="125"/>
      <c r="M17" s="125"/>
      <c r="N17" s="125"/>
    </row>
    <row r="18" customFormat="false" ht="18.75" hidden="false" customHeight="true" outlineLevel="0" collapsed="false">
      <c r="B18" s="51" t="s">
        <v>122</v>
      </c>
      <c r="C18" s="129" t="s">
        <v>123</v>
      </c>
      <c r="D18" s="51" t="s">
        <v>124</v>
      </c>
      <c r="E18" s="130" t="n">
        <f aca="false">'Desl. Base Blumenau'!E20</f>
        <v>54.43</v>
      </c>
      <c r="F18" s="125"/>
      <c r="G18" s="131"/>
      <c r="H18" s="159"/>
      <c r="I18" s="125"/>
      <c r="J18" s="125"/>
      <c r="K18" s="160"/>
      <c r="L18" s="160"/>
    </row>
    <row r="19" customFormat="false" ht="18.75" hidden="false" customHeight="true" outlineLevel="0" collapsed="false">
      <c r="B19" s="110" t="s">
        <v>125</v>
      </c>
      <c r="C19" s="132" t="s">
        <v>123</v>
      </c>
      <c r="D19" s="110" t="s">
        <v>126</v>
      </c>
      <c r="E19" s="133" t="n">
        <f aca="false">'Desl. Base Blumenau'!E21</f>
        <v>6.56</v>
      </c>
      <c r="F19" s="125"/>
      <c r="G19" s="131"/>
      <c r="H19" s="131"/>
      <c r="I19" s="125"/>
      <c r="J19" s="125"/>
      <c r="K19" s="160"/>
      <c r="L19" s="160"/>
    </row>
    <row r="20" customFormat="false" ht="47.25" hidden="false" customHeight="true" outlineLevel="0" collapsed="false">
      <c r="B20" s="134" t="s">
        <v>127</v>
      </c>
      <c r="C20" s="134"/>
      <c r="D20" s="134"/>
      <c r="E20" s="134"/>
      <c r="F20" s="135"/>
      <c r="G20" s="135"/>
      <c r="H20" s="135"/>
      <c r="I20" s="135"/>
      <c r="J20" s="135"/>
      <c r="K20" s="135"/>
      <c r="L20" s="160"/>
    </row>
    <row r="21" customFormat="false" ht="18.75" hidden="false" customHeight="true" outlineLevel="0" collapsed="false">
      <c r="B21" s="136"/>
      <c r="C21" s="136"/>
      <c r="D21" s="136"/>
      <c r="E21" s="136"/>
      <c r="F21" s="135"/>
      <c r="G21" s="135"/>
      <c r="H21" s="135"/>
      <c r="I21" s="135"/>
      <c r="J21" s="135"/>
      <c r="K21" s="135"/>
      <c r="L21" s="160"/>
    </row>
    <row r="22" customFormat="false" ht="15.75" hidden="false" customHeight="true" outlineLevel="0" collapsed="false">
      <c r="B22" s="126" t="s">
        <v>128</v>
      </c>
      <c r="C22" s="126"/>
      <c r="D22" s="125"/>
      <c r="E22" s="125"/>
      <c r="F22" s="125"/>
      <c r="G22" s="125"/>
      <c r="H22" s="125"/>
      <c r="I22" s="125"/>
      <c r="J22" s="125"/>
      <c r="K22" s="125"/>
      <c r="L22" s="125"/>
    </row>
    <row r="23" customFormat="false" ht="15.75" hidden="false" customHeight="true" outlineLevel="0" collapsed="false">
      <c r="B23" s="161" t="s">
        <v>124</v>
      </c>
      <c r="C23" s="162" t="n">
        <f aca="false">E18*L14</f>
        <v>795.585166666667</v>
      </c>
      <c r="D23" s="125"/>
      <c r="E23" s="125"/>
      <c r="F23" s="125"/>
      <c r="G23" s="125"/>
      <c r="H23" s="125"/>
      <c r="I23" s="125"/>
      <c r="J23" s="125"/>
    </row>
    <row r="24" customFormat="false" ht="15.75" hidden="false" customHeight="true" outlineLevel="0" collapsed="false">
      <c r="B24" s="51" t="s">
        <v>126</v>
      </c>
      <c r="C24" s="130" t="n">
        <f aca="false">E19*('Base Joinville'!N16/12)</f>
        <v>202.075333333333</v>
      </c>
      <c r="D24" s="125"/>
      <c r="E24" s="125"/>
      <c r="F24" s="125"/>
      <c r="G24" s="125"/>
      <c r="H24" s="125"/>
      <c r="I24" s="125"/>
      <c r="J24" s="125"/>
    </row>
    <row r="25" customFormat="false" ht="15.75" hidden="false" customHeight="true" outlineLevel="0" collapsed="false">
      <c r="B25" s="137" t="s">
        <v>28</v>
      </c>
      <c r="C25" s="138" t="n">
        <f aca="false">C23+C24</f>
        <v>997.6605</v>
      </c>
      <c r="D25" s="125"/>
      <c r="E25" s="125"/>
      <c r="F25" s="125"/>
      <c r="G25" s="125"/>
      <c r="H25" s="125"/>
      <c r="I25" s="85"/>
      <c r="J25" s="85"/>
    </row>
    <row r="26" customFormat="false" ht="15.75" hidden="false" customHeight="true" outlineLevel="0" collapsed="false">
      <c r="B26" s="163"/>
      <c r="C26" s="163"/>
      <c r="D26" s="125"/>
      <c r="H26" s="85"/>
      <c r="I26" s="85"/>
    </row>
    <row r="27" customFormat="false" ht="15.75" hidden="false" customHeight="true" outlineLevel="0" collapsed="false">
      <c r="B27" s="140" t="s">
        <v>129</v>
      </c>
      <c r="C27" s="140"/>
      <c r="D27" s="125"/>
      <c r="H27" s="85"/>
      <c r="I27" s="85"/>
    </row>
    <row r="28" customFormat="false" ht="15.75" hidden="false" customHeight="true" outlineLevel="0" collapsed="false">
      <c r="B28" s="158" t="s">
        <v>121</v>
      </c>
      <c r="C28" s="142" t="n">
        <f aca="false">SUM(M5:M13)</f>
        <v>0</v>
      </c>
      <c r="I28" s="125"/>
    </row>
    <row r="29" customFormat="false" ht="14.25" hidden="false" customHeight="false" outlineLevel="0" collapsed="false">
      <c r="B29" s="85"/>
      <c r="C29" s="85"/>
      <c r="D29" s="85"/>
    </row>
    <row r="30" customFormat="false" ht="14.25" hidden="false" customHeight="false" outlineLevel="0" collapsed="false">
      <c r="B30" s="131"/>
      <c r="C30" s="125"/>
      <c r="D30" s="125"/>
    </row>
    <row r="31" customFormat="false" ht="14.25" hidden="false" customHeight="false" outlineLevel="0" collapsed="false">
      <c r="B31" s="164" t="s">
        <v>67</v>
      </c>
      <c r="C31" s="164"/>
      <c r="D31" s="164"/>
      <c r="E31" s="164"/>
    </row>
    <row r="32" customFormat="false" ht="14.25" hidden="false" customHeight="false" outlineLevel="0" collapsed="false">
      <c r="B32" s="158" t="s">
        <v>140</v>
      </c>
      <c r="C32" s="158" t="s">
        <v>119</v>
      </c>
      <c r="D32" s="158" t="s">
        <v>120</v>
      </c>
      <c r="E32" s="158" t="s">
        <v>121</v>
      </c>
    </row>
    <row r="33" customFormat="false" ht="25.5" hidden="false" customHeight="false" outlineLevel="0" collapsed="false">
      <c r="B33" s="110" t="s">
        <v>141</v>
      </c>
      <c r="C33" s="165" t="s">
        <v>142</v>
      </c>
      <c r="D33" s="110" t="s">
        <v>143</v>
      </c>
      <c r="E33" s="166" t="n">
        <v>139.4</v>
      </c>
    </row>
    <row r="34" customFormat="false" ht="14.25" hidden="false" customHeight="false" outlineLevel="0" collapsed="false">
      <c r="B34" s="167" t="s">
        <v>144</v>
      </c>
      <c r="C34" s="167"/>
      <c r="D34" s="167"/>
      <c r="E34" s="167"/>
    </row>
    <row r="35" customFormat="false" ht="14.25" hidden="false" customHeight="false" outlineLevel="0" collapsed="false">
      <c r="B35" s="163"/>
      <c r="C35" s="125"/>
      <c r="D35" s="168"/>
    </row>
    <row r="36" customFormat="false" ht="14.25" hidden="false" customHeight="false" outlineLevel="0" collapsed="false">
      <c r="B36" s="85"/>
      <c r="C36" s="85"/>
      <c r="D36" s="85"/>
    </row>
    <row r="37" customFormat="false" ht="14.25" hidden="false" customHeight="false" outlineLevel="0" collapsed="false">
      <c r="B37" s="169"/>
      <c r="C37" s="85"/>
      <c r="D37" s="85"/>
    </row>
    <row r="38" customFormat="false" ht="14.25" hidden="false" customHeight="false" outlineLevel="0" collapsed="false">
      <c r="B38" s="131"/>
      <c r="C38" s="125"/>
      <c r="D38" s="125"/>
    </row>
    <row r="39" customFormat="false" ht="14.25" hidden="false" customHeight="false" outlineLevel="0" collapsed="false">
      <c r="B39" s="163"/>
      <c r="C39" s="125"/>
      <c r="D39" s="125"/>
    </row>
    <row r="40" customFormat="false" ht="14.25" hidden="false" customHeight="false" outlineLevel="0" collapsed="false">
      <c r="B40" s="125"/>
      <c r="C40" s="125"/>
      <c r="D40" s="131"/>
    </row>
    <row r="41" customFormat="false" ht="14.25" hidden="false" customHeight="false" outlineLevel="0" collapsed="false">
      <c r="B41" s="125"/>
      <c r="C41" s="125"/>
      <c r="D41" s="131"/>
    </row>
    <row r="42" customFormat="false" ht="14.25" hidden="false" customHeight="false" outlineLevel="0" collapsed="false">
      <c r="B42" s="163"/>
      <c r="C42" s="125"/>
      <c r="D42" s="168"/>
    </row>
    <row r="43" customFormat="false" ht="14.25" hidden="false" customHeight="false" outlineLevel="0" collapsed="false">
      <c r="B43" s="85"/>
      <c r="C43" s="85"/>
      <c r="D43" s="85"/>
    </row>
    <row r="44" customFormat="false" ht="14.25" hidden="false" customHeight="false" outlineLevel="0" collapsed="false">
      <c r="B44" s="169"/>
      <c r="C44" s="85"/>
      <c r="D44" s="85"/>
    </row>
    <row r="45" customFormat="false" ht="14.25" hidden="false" customHeight="false" outlineLevel="0" collapsed="false">
      <c r="B45" s="131"/>
      <c r="C45" s="125"/>
      <c r="D45" s="125"/>
    </row>
    <row r="46" customFormat="false" ht="14.25" hidden="false" customHeight="false" outlineLevel="0" collapsed="false">
      <c r="B46" s="163"/>
      <c r="C46" s="125"/>
      <c r="D46" s="125"/>
    </row>
    <row r="47" customFormat="false" ht="14.25" hidden="false" customHeight="false" outlineLevel="0" collapsed="false">
      <c r="B47" s="125"/>
      <c r="C47" s="125"/>
      <c r="D47" s="131"/>
    </row>
    <row r="48" customFormat="false" ht="14.25" hidden="false" customHeight="false" outlineLevel="0" collapsed="false">
      <c r="B48" s="125"/>
      <c r="C48" s="125"/>
      <c r="D48" s="131"/>
    </row>
    <row r="49" customFormat="false" ht="14.25" hidden="false" customHeight="false" outlineLevel="0" collapsed="false">
      <c r="B49" s="163"/>
      <c r="C49" s="125"/>
      <c r="D49" s="168"/>
    </row>
    <row r="50" customFormat="false" ht="14.25" hidden="false" customHeight="false" outlineLevel="0" collapsed="false">
      <c r="B50" s="85"/>
      <c r="C50" s="85"/>
      <c r="D50" s="85"/>
    </row>
    <row r="51" customFormat="false" ht="14.25" hidden="false" customHeight="false" outlineLevel="0" collapsed="false">
      <c r="B51" s="169"/>
      <c r="C51" s="85"/>
      <c r="D51" s="85"/>
    </row>
    <row r="52" customFormat="false" ht="14.25" hidden="false" customHeight="false" outlineLevel="0" collapsed="false">
      <c r="B52" s="131"/>
      <c r="C52" s="125"/>
      <c r="D52" s="125"/>
    </row>
    <row r="53" customFormat="false" ht="14.25" hidden="false" customHeight="false" outlineLevel="0" collapsed="false">
      <c r="B53" s="163"/>
      <c r="C53" s="125"/>
      <c r="D53" s="125"/>
    </row>
    <row r="54" customFormat="false" ht="14.25" hidden="false" customHeight="false" outlineLevel="0" collapsed="false">
      <c r="B54" s="125"/>
      <c r="C54" s="125"/>
      <c r="D54" s="131"/>
    </row>
    <row r="55" customFormat="false" ht="14.25" hidden="false" customHeight="false" outlineLevel="0" collapsed="false">
      <c r="B55" s="125"/>
      <c r="C55" s="125"/>
      <c r="D55" s="131"/>
    </row>
    <row r="56" customFormat="false" ht="14.25" hidden="false" customHeight="false" outlineLevel="0" collapsed="false">
      <c r="B56" s="125"/>
      <c r="C56" s="125"/>
      <c r="D56" s="131"/>
    </row>
    <row r="57" customFormat="false" ht="14.25" hidden="false" customHeight="false" outlineLevel="0" collapsed="false">
      <c r="B57" s="163"/>
      <c r="C57" s="125"/>
      <c r="D57" s="168"/>
    </row>
  </sheetData>
  <mergeCells count="5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4:F14"/>
    <mergeCell ref="H14:J14"/>
    <mergeCell ref="B16:E16"/>
    <mergeCell ref="B20:E20"/>
    <mergeCell ref="B22:C22"/>
    <mergeCell ref="B27:C27"/>
    <mergeCell ref="B31:E31"/>
    <mergeCell ref="B34:E34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H30" activeCellId="0" sqref="H3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5.88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0" t="s">
        <v>145</v>
      </c>
      <c r="C2" s="170"/>
      <c r="D2" s="170"/>
      <c r="E2" s="170"/>
      <c r="F2" s="170"/>
      <c r="G2" s="170"/>
      <c r="H2" s="170"/>
      <c r="I2" s="170"/>
    </row>
    <row r="3" customFormat="false" ht="21" hidden="false" customHeight="true" outlineLevel="0" collapsed="false"/>
    <row r="4" customFormat="false" ht="16.5" hidden="false" customHeight="true" outlineLevel="0" collapsed="false">
      <c r="B4" s="171" t="s">
        <v>146</v>
      </c>
      <c r="C4" s="171"/>
      <c r="D4" s="171"/>
      <c r="E4" s="171"/>
      <c r="F4" s="171"/>
      <c r="G4" s="171"/>
      <c r="H4" s="171"/>
      <c r="I4" s="171"/>
    </row>
    <row r="5" customFormat="false" ht="16.5" hidden="false" customHeight="true" outlineLevel="0" collapsed="false">
      <c r="B5" s="172" t="s">
        <v>147</v>
      </c>
      <c r="C5" s="172"/>
      <c r="D5" s="173" t="s">
        <v>148</v>
      </c>
      <c r="E5" s="173"/>
      <c r="F5" s="173"/>
      <c r="G5" s="173"/>
      <c r="H5" s="173"/>
      <c r="I5" s="173"/>
    </row>
    <row r="6" customFormat="false" ht="16.5" hidden="false" customHeight="true" outlineLevel="0" collapsed="false">
      <c r="B6" s="172" t="s">
        <v>119</v>
      </c>
      <c r="C6" s="172"/>
      <c r="D6" s="173" t="s">
        <v>149</v>
      </c>
      <c r="E6" s="173"/>
      <c r="F6" s="173"/>
      <c r="G6" s="173"/>
      <c r="H6" s="173"/>
      <c r="I6" s="173"/>
    </row>
    <row r="7" customFormat="false" ht="16.5" hidden="false" customHeight="true" outlineLevel="0" collapsed="false">
      <c r="B7" s="172" t="s">
        <v>150</v>
      </c>
      <c r="C7" s="172"/>
      <c r="D7" s="174" t="s">
        <v>151</v>
      </c>
      <c r="E7" s="174"/>
      <c r="F7" s="174"/>
      <c r="G7" s="174"/>
      <c r="H7" s="174"/>
      <c r="I7" s="174"/>
    </row>
    <row r="8" customFormat="false" ht="16.5" hidden="false" customHeight="true" outlineLevel="0" collapsed="false">
      <c r="B8" s="172" t="s">
        <v>152</v>
      </c>
      <c r="C8" s="172"/>
      <c r="D8" s="173" t="s">
        <v>153</v>
      </c>
      <c r="E8" s="173"/>
      <c r="F8" s="173"/>
      <c r="G8" s="173"/>
      <c r="H8" s="173"/>
      <c r="I8" s="173"/>
    </row>
    <row r="9" customFormat="false" ht="16.5" hidden="false" customHeight="true" outlineLevel="0" collapsed="false">
      <c r="B9" s="172" t="s">
        <v>154</v>
      </c>
      <c r="C9" s="172"/>
      <c r="D9" s="173" t="s">
        <v>155</v>
      </c>
      <c r="E9" s="173"/>
      <c r="F9" s="173"/>
      <c r="G9" s="173"/>
      <c r="H9" s="173"/>
      <c r="I9" s="173"/>
    </row>
    <row r="10" customFormat="false" ht="16.5" hidden="false" customHeight="true" outlineLevel="0" collapsed="false">
      <c r="B10" s="172" t="s">
        <v>120</v>
      </c>
      <c r="C10" s="172"/>
      <c r="D10" s="173" t="s">
        <v>124</v>
      </c>
      <c r="E10" s="173"/>
      <c r="F10" s="173"/>
      <c r="G10" s="173"/>
      <c r="H10" s="173"/>
      <c r="I10" s="173"/>
    </row>
    <row r="11" customFormat="false" ht="23.25" hidden="false" customHeight="true" outlineLevel="0" collapsed="false">
      <c r="B11" s="172" t="s">
        <v>156</v>
      </c>
      <c r="C11" s="172"/>
      <c r="D11" s="175" t="n">
        <f aca="false">SUM(I14:I18)</f>
        <v>54.43</v>
      </c>
      <c r="E11" s="175"/>
      <c r="F11" s="175"/>
      <c r="G11" s="175"/>
      <c r="H11" s="175"/>
      <c r="I11" s="175"/>
    </row>
    <row r="12" customFormat="false" ht="15.75" hidden="false" customHeight="true" outlineLevel="0" collapsed="false">
      <c r="B12" s="176"/>
      <c r="C12" s="176"/>
      <c r="D12" s="177"/>
      <c r="E12" s="177"/>
      <c r="F12" s="177"/>
      <c r="G12" s="177"/>
      <c r="H12" s="177"/>
      <c r="I12" s="177"/>
    </row>
    <row r="13" customFormat="false" ht="29.25" hidden="false" customHeight="true" outlineLevel="0" collapsed="false">
      <c r="B13" s="178"/>
      <c r="C13" s="178" t="s">
        <v>157</v>
      </c>
      <c r="D13" s="178" t="s">
        <v>119</v>
      </c>
      <c r="E13" s="178" t="s">
        <v>154</v>
      </c>
      <c r="F13" s="178" t="s">
        <v>120</v>
      </c>
      <c r="G13" s="179" t="s">
        <v>158</v>
      </c>
      <c r="H13" s="178" t="s">
        <v>159</v>
      </c>
      <c r="I13" s="178" t="s">
        <v>160</v>
      </c>
    </row>
    <row r="14" customFormat="false" ht="27.75" hidden="false" customHeight="true" outlineLevel="0" collapsed="false">
      <c r="B14" s="180" t="s">
        <v>161</v>
      </c>
      <c r="C14" s="180" t="s">
        <v>162</v>
      </c>
      <c r="D14" s="181" t="s">
        <v>163</v>
      </c>
      <c r="E14" s="181" t="s">
        <v>155</v>
      </c>
      <c r="F14" s="180" t="s">
        <v>164</v>
      </c>
      <c r="G14" s="182" t="n">
        <v>4.58</v>
      </c>
      <c r="H14" s="180" t="n">
        <v>1</v>
      </c>
      <c r="I14" s="182" t="n">
        <f aca="false">G14*H14</f>
        <v>4.58</v>
      </c>
    </row>
    <row r="15" customFormat="false" ht="27.75" hidden="false" customHeight="true" outlineLevel="0" collapsed="false">
      <c r="B15" s="180" t="s">
        <v>161</v>
      </c>
      <c r="C15" s="180" t="s">
        <v>165</v>
      </c>
      <c r="D15" s="181" t="s">
        <v>166</v>
      </c>
      <c r="E15" s="181" t="s">
        <v>155</v>
      </c>
      <c r="F15" s="180" t="s">
        <v>164</v>
      </c>
      <c r="G15" s="182" t="n">
        <v>1.41</v>
      </c>
      <c r="H15" s="180" t="n">
        <v>1</v>
      </c>
      <c r="I15" s="182" t="n">
        <f aca="false">G15*H15</f>
        <v>1.41</v>
      </c>
    </row>
    <row r="16" customFormat="false" ht="42" hidden="false" customHeight="true" outlineLevel="0" collapsed="false">
      <c r="B16" s="180" t="s">
        <v>161</v>
      </c>
      <c r="C16" s="180" t="s">
        <v>167</v>
      </c>
      <c r="D16" s="181" t="s">
        <v>168</v>
      </c>
      <c r="E16" s="181" t="s">
        <v>155</v>
      </c>
      <c r="F16" s="180" t="s">
        <v>164</v>
      </c>
      <c r="G16" s="182" t="n">
        <v>0.57</v>
      </c>
      <c r="H16" s="180" t="n">
        <v>1</v>
      </c>
      <c r="I16" s="182" t="n">
        <f aca="false">G16*H16</f>
        <v>0.57</v>
      </c>
    </row>
    <row r="17" customFormat="false" ht="27.75" hidden="false" customHeight="true" outlineLevel="0" collapsed="false">
      <c r="B17" s="180" t="s">
        <v>161</v>
      </c>
      <c r="C17" s="180" t="s">
        <v>169</v>
      </c>
      <c r="D17" s="181" t="s">
        <v>170</v>
      </c>
      <c r="E17" s="181" t="s">
        <v>155</v>
      </c>
      <c r="F17" s="180" t="s">
        <v>164</v>
      </c>
      <c r="G17" s="182" t="n">
        <v>5.73</v>
      </c>
      <c r="H17" s="180" t="n">
        <v>1</v>
      </c>
      <c r="I17" s="182" t="n">
        <f aca="false">G17*H17</f>
        <v>5.73</v>
      </c>
    </row>
    <row r="18" customFormat="false" ht="42" hidden="false" customHeight="true" outlineLevel="0" collapsed="false">
      <c r="B18" s="180" t="s">
        <v>161</v>
      </c>
      <c r="C18" s="180" t="s">
        <v>171</v>
      </c>
      <c r="D18" s="181" t="s">
        <v>172</v>
      </c>
      <c r="E18" s="181" t="s">
        <v>155</v>
      </c>
      <c r="F18" s="180" t="s">
        <v>164</v>
      </c>
      <c r="G18" s="182" t="n">
        <v>42.14</v>
      </c>
      <c r="H18" s="180" t="n">
        <v>1</v>
      </c>
      <c r="I18" s="182" t="n">
        <f aca="false">G18*H18</f>
        <v>42.14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0" t="s">
        <v>173</v>
      </c>
      <c r="C20" s="170"/>
      <c r="D20" s="170"/>
      <c r="E20" s="170"/>
      <c r="F20" s="170"/>
      <c r="G20" s="170"/>
      <c r="H20" s="170"/>
      <c r="I20" s="170"/>
    </row>
    <row r="21" customFormat="false" ht="16.5" hidden="false" customHeight="true" outlineLevel="0" collapsed="false">
      <c r="B21" s="172" t="s">
        <v>147</v>
      </c>
      <c r="C21" s="172"/>
      <c r="D21" s="173" t="s">
        <v>174</v>
      </c>
      <c r="E21" s="173"/>
      <c r="F21" s="173"/>
      <c r="G21" s="173"/>
      <c r="H21" s="173"/>
      <c r="I21" s="173"/>
    </row>
    <row r="22" customFormat="false" ht="16.5" hidden="false" customHeight="true" outlineLevel="0" collapsed="false">
      <c r="B22" s="172" t="s">
        <v>119</v>
      </c>
      <c r="C22" s="172"/>
      <c r="D22" s="173" t="s">
        <v>175</v>
      </c>
      <c r="E22" s="173"/>
      <c r="F22" s="173"/>
      <c r="G22" s="173"/>
      <c r="H22" s="173"/>
      <c r="I22" s="173"/>
    </row>
    <row r="23" customFormat="false" ht="16.5" hidden="false" customHeight="true" outlineLevel="0" collapsed="false">
      <c r="B23" s="172" t="s">
        <v>150</v>
      </c>
      <c r="C23" s="172"/>
      <c r="D23" s="174" t="s">
        <v>151</v>
      </c>
      <c r="E23" s="174"/>
      <c r="F23" s="174"/>
      <c r="G23" s="174"/>
      <c r="H23" s="174"/>
      <c r="I23" s="174"/>
    </row>
    <row r="24" customFormat="false" ht="16.5" hidden="false" customHeight="true" outlineLevel="0" collapsed="false">
      <c r="B24" s="172" t="s">
        <v>152</v>
      </c>
      <c r="C24" s="172"/>
      <c r="D24" s="173" t="s">
        <v>153</v>
      </c>
      <c r="E24" s="173"/>
      <c r="F24" s="173"/>
      <c r="G24" s="173"/>
      <c r="H24" s="173"/>
      <c r="I24" s="173"/>
    </row>
    <row r="25" customFormat="false" ht="16.5" hidden="false" customHeight="true" outlineLevel="0" collapsed="false">
      <c r="B25" s="172" t="s">
        <v>154</v>
      </c>
      <c r="C25" s="172"/>
      <c r="D25" s="173" t="s">
        <v>155</v>
      </c>
      <c r="E25" s="173"/>
      <c r="F25" s="173"/>
      <c r="G25" s="173"/>
      <c r="H25" s="173"/>
      <c r="I25" s="173"/>
    </row>
    <row r="26" customFormat="false" ht="16.5" hidden="false" customHeight="true" outlineLevel="0" collapsed="false">
      <c r="B26" s="172" t="s">
        <v>120</v>
      </c>
      <c r="C26" s="172"/>
      <c r="D26" s="173" t="s">
        <v>126</v>
      </c>
      <c r="E26" s="173"/>
      <c r="F26" s="173"/>
      <c r="G26" s="173"/>
      <c r="H26" s="173"/>
      <c r="I26" s="173"/>
    </row>
    <row r="27" customFormat="false" ht="23.25" hidden="false" customHeight="true" outlineLevel="0" collapsed="false">
      <c r="B27" s="172" t="s">
        <v>156</v>
      </c>
      <c r="C27" s="172"/>
      <c r="D27" s="183" t="n">
        <f aca="false">SUM(I30:I32)</f>
        <v>6.56</v>
      </c>
      <c r="E27" s="183"/>
      <c r="F27" s="183"/>
      <c r="G27" s="183"/>
      <c r="H27" s="183"/>
      <c r="I27" s="183"/>
    </row>
    <row r="28" customFormat="false" ht="15.75" hidden="false" customHeight="true" outlineLevel="0" collapsed="false">
      <c r="B28" s="176"/>
      <c r="C28" s="176"/>
      <c r="D28" s="177"/>
      <c r="E28" s="177"/>
      <c r="F28" s="177"/>
      <c r="G28" s="177"/>
      <c r="H28" s="177"/>
      <c r="I28" s="177"/>
    </row>
    <row r="29" customFormat="false" ht="29.25" hidden="false" customHeight="true" outlineLevel="0" collapsed="false">
      <c r="B29" s="178"/>
      <c r="C29" s="178" t="s">
        <v>157</v>
      </c>
      <c r="D29" s="178" t="s">
        <v>119</v>
      </c>
      <c r="E29" s="178" t="s">
        <v>154</v>
      </c>
      <c r="F29" s="178" t="s">
        <v>120</v>
      </c>
      <c r="G29" s="179" t="s">
        <v>158</v>
      </c>
      <c r="H29" s="178" t="s">
        <v>159</v>
      </c>
      <c r="I29" s="178" t="s">
        <v>160</v>
      </c>
    </row>
    <row r="30" customFormat="false" ht="27.75" hidden="false" customHeight="true" outlineLevel="0" collapsed="false">
      <c r="B30" s="180" t="s">
        <v>161</v>
      </c>
      <c r="C30" s="180" t="s">
        <v>162</v>
      </c>
      <c r="D30" s="181" t="s">
        <v>163</v>
      </c>
      <c r="E30" s="181" t="s">
        <v>155</v>
      </c>
      <c r="F30" s="180" t="s">
        <v>164</v>
      </c>
      <c r="G30" s="182" t="n">
        <f aca="false">G14</f>
        <v>4.58</v>
      </c>
      <c r="H30" s="180" t="n">
        <v>1</v>
      </c>
      <c r="I30" s="182" t="n">
        <f aca="false">G30*H30</f>
        <v>4.58</v>
      </c>
    </row>
    <row r="31" customFormat="false" ht="27.75" hidden="false" customHeight="true" outlineLevel="0" collapsed="false">
      <c r="B31" s="180" t="s">
        <v>161</v>
      </c>
      <c r="C31" s="180" t="s">
        <v>165</v>
      </c>
      <c r="D31" s="181" t="s">
        <v>166</v>
      </c>
      <c r="E31" s="181" t="s">
        <v>155</v>
      </c>
      <c r="F31" s="180" t="s">
        <v>164</v>
      </c>
      <c r="G31" s="182" t="n">
        <f aca="false">G15</f>
        <v>1.41</v>
      </c>
      <c r="H31" s="180" t="n">
        <v>1</v>
      </c>
      <c r="I31" s="182" t="n">
        <f aca="false">G31*H31</f>
        <v>1.41</v>
      </c>
    </row>
    <row r="32" customFormat="false" ht="42" hidden="false" customHeight="true" outlineLevel="0" collapsed="false">
      <c r="B32" s="180" t="s">
        <v>161</v>
      </c>
      <c r="C32" s="180" t="s">
        <v>167</v>
      </c>
      <c r="D32" s="181" t="s">
        <v>168</v>
      </c>
      <c r="E32" s="181" t="s">
        <v>155</v>
      </c>
      <c r="F32" s="180" t="s">
        <v>164</v>
      </c>
      <c r="G32" s="182" t="n">
        <f aca="false">G16</f>
        <v>0.57</v>
      </c>
      <c r="H32" s="180" t="n">
        <v>1</v>
      </c>
      <c r="I32" s="182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ColWidth="10.50390625" defaultRowHeight="14.25" zeroHeight="false" outlineLevelRow="0" outlineLevelCol="0"/>
  <cols>
    <col collapsed="false" customWidth="true" hidden="false" outlineLevel="0" max="1" min="1" style="184" width="5.26"/>
    <col collapsed="false" customWidth="true" hidden="false" outlineLevel="0" max="2" min="2" style="184" width="35"/>
    <col collapsed="false" customWidth="true" hidden="false" outlineLevel="0" max="3" min="3" style="184" width="28.88"/>
    <col collapsed="false" customWidth="true" hidden="false" outlineLevel="0" max="4" min="4" style="184" width="15.62"/>
    <col collapsed="false" customWidth="true" hidden="false" outlineLevel="0" max="5" min="5" style="184" width="7.76"/>
    <col collapsed="false" customWidth="false" hidden="false" outlineLevel="0" max="6" min="6" style="184" width="10.5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5" t="s">
        <v>176</v>
      </c>
    </row>
    <row r="3" customFormat="false" ht="15" hidden="false" customHeight="true" outlineLevel="0" collapsed="false">
      <c r="B3" s="186" t="s">
        <v>177</v>
      </c>
      <c r="C3" s="185" t="s">
        <v>178</v>
      </c>
    </row>
    <row r="4" customFormat="false" ht="15" hidden="false" customHeight="true" outlineLevel="0" collapsed="false">
      <c r="B4" s="186" t="s">
        <v>179</v>
      </c>
      <c r="C4" s="187" t="s">
        <v>180</v>
      </c>
    </row>
    <row r="5" customFormat="false" ht="15" hidden="false" customHeight="true" outlineLevel="0" collapsed="false">
      <c r="B5" s="186" t="s">
        <v>181</v>
      </c>
      <c r="C5" s="187" t="n">
        <v>45566</v>
      </c>
    </row>
    <row r="6" customFormat="false" ht="15" hidden="false" customHeight="true" outlineLevel="0" collapsed="false">
      <c r="B6" s="186" t="s">
        <v>182</v>
      </c>
      <c r="C6" s="188" t="n">
        <v>78.48</v>
      </c>
    </row>
    <row r="7" customFormat="false" ht="14.25" hidden="false" customHeight="false" outlineLevel="0" collapsed="false">
      <c r="B7" s="189"/>
      <c r="C7" s="190"/>
    </row>
    <row r="8" customFormat="false" ht="27.75" hidden="false" customHeight="true" outlineLevel="0" collapsed="false">
      <c r="B8" s="191" t="s">
        <v>183</v>
      </c>
      <c r="C8" s="192" t="s">
        <v>184</v>
      </c>
    </row>
    <row r="9" customFormat="false" ht="15" hidden="false" customHeight="true" outlineLevel="0" collapsed="false">
      <c r="B9" s="186" t="s">
        <v>185</v>
      </c>
      <c r="C9" s="193" t="n">
        <v>0.9254</v>
      </c>
    </row>
    <row r="10" customFormat="false" ht="15" hidden="false" customHeight="true" outlineLevel="0" collapsed="false">
      <c r="B10" s="186" t="s">
        <v>186</v>
      </c>
      <c r="C10" s="193" t="n">
        <v>1.156</v>
      </c>
    </row>
    <row r="11" customFormat="false" ht="13.5" hidden="false" customHeight="true" outlineLevel="0" collapsed="false">
      <c r="B11" s="189"/>
      <c r="C11" s="189"/>
    </row>
    <row r="12" customFormat="false" ht="15" hidden="false" customHeight="true" outlineLevel="0" collapsed="false">
      <c r="B12" s="194" t="s">
        <v>187</v>
      </c>
      <c r="C12" s="195"/>
    </row>
    <row r="13" customFormat="false" ht="15" hidden="false" customHeight="true" outlineLevel="0" collapsed="false">
      <c r="B13" s="186" t="s">
        <v>188</v>
      </c>
      <c r="C13" s="196" t="n">
        <f aca="false">C6*(1+C9)</f>
        <v>151.105392</v>
      </c>
      <c r="D13" s="197"/>
      <c r="F13" s="198"/>
    </row>
    <row r="14" customFormat="false" ht="15" hidden="false" customHeight="true" outlineLevel="0" collapsed="false">
      <c r="B14" s="186" t="s">
        <v>189</v>
      </c>
      <c r="C14" s="196" t="n">
        <f aca="false">C6*(1+C10)</f>
        <v>169.20288</v>
      </c>
      <c r="D14" s="197"/>
      <c r="F14" s="198"/>
    </row>
    <row r="16" customFormat="false" ht="42" hidden="false" customHeight="true" outlineLevel="0" collapsed="false">
      <c r="B16" s="199" t="s">
        <v>190</v>
      </c>
      <c r="C16" s="199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0C2721-B5DE-41C8-B774-3CE1303017D2}"/>
</file>

<file path=customXml/itemProps2.xml><?xml version="1.0" encoding="utf-8"?>
<ds:datastoreItem xmlns:ds="http://schemas.openxmlformats.org/officeDocument/2006/customXml" ds:itemID="{FA83F1CC-8D68-4E3C-90B1-999DAD11D765}"/>
</file>

<file path=customXml/itemProps3.xml><?xml version="1.0" encoding="utf-8"?>
<ds:datastoreItem xmlns:ds="http://schemas.openxmlformats.org/officeDocument/2006/customXml" ds:itemID="{6CFC8CA7-8320-45C6-B49E-507B0716602E}"/>
</file>

<file path=customXml/itemProps4.xml><?xml version="1.0" encoding="utf-8"?>
<ds:datastoreItem xmlns:ds="http://schemas.openxmlformats.org/officeDocument/2006/customXml" ds:itemID="{9121E715-ED83-454E-A28F-6EDDD09F3A9C}"/>
</file>

<file path=customXml/itemProps5.xml><?xml version="1.0" encoding="utf-8"?>
<ds:datastoreItem xmlns:ds="http://schemas.openxmlformats.org/officeDocument/2006/customXml" ds:itemID="{1B4CFEA6-014E-42BC-8045-40DE22F646B4}"/>
</file>

<file path=customXml/itemProps6.xml><?xml version="1.0" encoding="utf-8"?>
<ds:datastoreItem xmlns:ds="http://schemas.openxmlformats.org/officeDocument/2006/customXml" ds:itemID="{12A5C5FF-EDE9-4CAA-B2E5-CD3024F34DD1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48</cp:revision>
  <dcterms:created xsi:type="dcterms:W3CDTF">2022-02-01T12:05:24Z</dcterms:created>
  <dcterms:modified xsi:type="dcterms:W3CDTF">2025-04-04T09:43:05Z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